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jonathanvogelborne/Documents/2JV-B/Wider Quaker/FWCC/SOA/FinanceCttee/2018-19 Budget/"/>
    </mc:Choice>
  </mc:AlternateContent>
  <bookViews>
    <workbookView xWindow="0" yWindow="0" windowWidth="38380" windowHeight="23900" tabRatio="904" firstSheet="18" activeTab="32"/>
  </bookViews>
  <sheets>
    <sheet name="Releases" sheetId="37" r:id="rId1"/>
    <sheet name="% Distribution" sheetId="36" r:id="rId2"/>
    <sheet name="Admin 110" sheetId="2" r:id="rId3"/>
    <sheet name="Development 120" sheetId="3" r:id="rId4"/>
    <sheet name="World Office 130" sheetId="4" r:id="rId5"/>
    <sheet name="Section Meeting 140" sheetId="8" r:id="rId6"/>
    <sheet name="Visitation 150" sheetId="7" r:id="rId7"/>
    <sheet name="Connections 160" sheetId="5" r:id="rId8"/>
    <sheet name="Social Enterprise 170" sheetId="6" r:id="rId9"/>
    <sheet name="Elkinton 210" sheetId="12" r:id="rId10"/>
    <sheet name="Founders Fund 220" sheetId="11" r:id="rId11"/>
    <sheet name="Stewardship 230" sheetId="10" r:id="rId12"/>
    <sheet name="Bax Fund 240" sheetId="9" r:id="rId13"/>
    <sheet name="Committee Travel 250" sheetId="30" r:id="rId14"/>
    <sheet name="Moir 260" sheetId="32" r:id="rId15"/>
    <sheet name="Green Fund 270" sheetId="35" r:id="rId16"/>
    <sheet name="subtotal Board Designated" sheetId="13" r:id="rId17"/>
    <sheet name="TOTAL UNRESTRICTED" sheetId="14" r:id="rId18"/>
    <sheet name="Committee Travel 310" sheetId="20" r:id="rId19"/>
    <sheet name="Bogert 320" sheetId="17" r:id="rId20"/>
    <sheet name="QYP 330" sheetId="16" r:id="rId21"/>
    <sheet name="Travel in Ministry 340" sheetId="15" r:id="rId22"/>
    <sheet name="Tyson Grant 350" sheetId="18" r:id="rId23"/>
    <sheet name="World Travel 360 " sheetId="33" r:id="rId24"/>
    <sheet name="PLIF 370" sheetId="19" r:id="rId25"/>
    <sheet name="Campaign 380" sheetId="29" r:id="rId26"/>
    <sheet name="Travel Support 390" sheetId="21" r:id="rId27"/>
    <sheet name="TOTAL Temp Resticted" sheetId="22" r:id="rId28"/>
    <sheet name="Applegate 410" sheetId="23" r:id="rId29"/>
    <sheet name="Elkinton Restricted 420" sheetId="24" r:id="rId30"/>
    <sheet name="Cadwallader 430" sheetId="25" r:id="rId31"/>
    <sheet name="Total Perm Restricted" sheetId="26" r:id="rId32"/>
    <sheet name="GRAND TOTAL" sheetId="27" r:id="rId33"/>
  </sheets>
  <definedNames>
    <definedName name="AddlScenarios" localSheetId="13">#REF!</definedName>
    <definedName name="AddlScenarios" localSheetId="15">#REF!</definedName>
    <definedName name="AddlScenarios" localSheetId="14">#REF!</definedName>
    <definedName name="AddlScenarios" localSheetId="23">#REF!</definedName>
    <definedName name="AddlScenarios">#REF!</definedName>
    <definedName name="GrandTotals" localSheetId="13">#REF!</definedName>
    <definedName name="GrandTotals" localSheetId="15">#REF!</definedName>
    <definedName name="GrandTotals" localSheetId="14">#REF!</definedName>
    <definedName name="GrandTotals" localSheetId="23">#REF!</definedName>
    <definedName name="GrandTotals">#REF!</definedName>
    <definedName name="_xlnm.Print_Area" localSheetId="32">'GRAND TOTAL'!$AG$4:$AK$38</definedName>
    <definedName name="_xlnm.Print_Titles" localSheetId="32">'GRAND TOTAL'!$A:$E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27" l="1"/>
  <c r="I40" i="27"/>
  <c r="J4" i="14"/>
  <c r="H2" i="14"/>
  <c r="I4" i="14"/>
  <c r="I40" i="14"/>
  <c r="I4" i="27"/>
  <c r="I29" i="27"/>
  <c r="I30" i="27"/>
  <c r="I31" i="27"/>
  <c r="I32" i="27"/>
  <c r="I34" i="27"/>
  <c r="I35" i="27"/>
  <c r="I36" i="27"/>
  <c r="I9" i="27"/>
  <c r="I10" i="27"/>
  <c r="I11" i="27"/>
  <c r="I12" i="27"/>
  <c r="I13" i="27"/>
  <c r="I14" i="27"/>
  <c r="I16" i="27"/>
  <c r="I17" i="27"/>
  <c r="I18" i="27"/>
  <c r="I19" i="27"/>
  <c r="I20" i="27"/>
  <c r="I21" i="27"/>
  <c r="I22" i="27"/>
  <c r="I23" i="27"/>
  <c r="I24" i="27"/>
  <c r="I25" i="27"/>
  <c r="I26" i="27"/>
  <c r="I37" i="27"/>
  <c r="H11" i="37"/>
  <c r="G11" i="37"/>
  <c r="H8" i="37"/>
  <c r="G8" i="37"/>
  <c r="K29" i="2"/>
  <c r="L29" i="11"/>
  <c r="K29" i="11"/>
  <c r="L29" i="2"/>
  <c r="L29" i="14"/>
  <c r="L29" i="13"/>
  <c r="AG29" i="27"/>
  <c r="L30" i="14"/>
  <c r="L30" i="13"/>
  <c r="AG30" i="27"/>
  <c r="L31" i="14"/>
  <c r="L31" i="13"/>
  <c r="AG31" i="27"/>
  <c r="AG32" i="27"/>
  <c r="L34" i="13"/>
  <c r="L34" i="14"/>
  <c r="AG34" i="27"/>
  <c r="AG35" i="27"/>
  <c r="AG36" i="27"/>
  <c r="L9" i="14"/>
  <c r="L9" i="13"/>
  <c r="AG9" i="27"/>
  <c r="L10" i="14"/>
  <c r="L10" i="13"/>
  <c r="AG10" i="27"/>
  <c r="L11" i="14"/>
  <c r="L11" i="13"/>
  <c r="AG11" i="27"/>
  <c r="L12" i="14"/>
  <c r="L12" i="13"/>
  <c r="AG12" i="27"/>
  <c r="L13" i="14"/>
  <c r="L13" i="13"/>
  <c r="AG13" i="27"/>
  <c r="AG14" i="27"/>
  <c r="L16" i="14"/>
  <c r="L16" i="13"/>
  <c r="AG16" i="27"/>
  <c r="L17" i="14"/>
  <c r="L17" i="13"/>
  <c r="AG17" i="27"/>
  <c r="L18" i="14"/>
  <c r="L18" i="13"/>
  <c r="AG18" i="27"/>
  <c r="L19" i="14"/>
  <c r="L19" i="13"/>
  <c r="AG19" i="27"/>
  <c r="L20" i="14"/>
  <c r="L20" i="13"/>
  <c r="AG20" i="27"/>
  <c r="L21" i="14"/>
  <c r="L21" i="13"/>
  <c r="AG21" i="27"/>
  <c r="L22" i="14"/>
  <c r="L22" i="13"/>
  <c r="AG22" i="27"/>
  <c r="L23" i="14"/>
  <c r="L23" i="13"/>
  <c r="AG23" i="27"/>
  <c r="L24" i="14"/>
  <c r="L24" i="13"/>
  <c r="AG24" i="27"/>
  <c r="AG25" i="27"/>
  <c r="AG26" i="27"/>
  <c r="AG37" i="27"/>
  <c r="AH29" i="27"/>
  <c r="AH30" i="27"/>
  <c r="AH31" i="27"/>
  <c r="AH32" i="27"/>
  <c r="AH34" i="27"/>
  <c r="AH35" i="27"/>
  <c r="AH36" i="27"/>
  <c r="AH9" i="27"/>
  <c r="AH10" i="27"/>
  <c r="AH11" i="27"/>
  <c r="AH12" i="27"/>
  <c r="AH13" i="27"/>
  <c r="AH14" i="27"/>
  <c r="AH16" i="27"/>
  <c r="AH17" i="27"/>
  <c r="AH18" i="27"/>
  <c r="AH19" i="27"/>
  <c r="AH20" i="27"/>
  <c r="AH21" i="27"/>
  <c r="AH22" i="27"/>
  <c r="AH23" i="27"/>
  <c r="AH25" i="27"/>
  <c r="AH26" i="27"/>
  <c r="AH37" i="27"/>
  <c r="K29" i="14"/>
  <c r="K29" i="13"/>
  <c r="AA29" i="27"/>
  <c r="K30" i="14"/>
  <c r="K30" i="13"/>
  <c r="AA30" i="27"/>
  <c r="K31" i="14"/>
  <c r="K31" i="13"/>
  <c r="AA31" i="27"/>
  <c r="AA32" i="27"/>
  <c r="K34" i="13"/>
  <c r="K34" i="14"/>
  <c r="AA34" i="27"/>
  <c r="AA35" i="27"/>
  <c r="AA36" i="27"/>
  <c r="K9" i="14"/>
  <c r="K9" i="13"/>
  <c r="AA9" i="27"/>
  <c r="K10" i="14"/>
  <c r="K10" i="13"/>
  <c r="AA10" i="27"/>
  <c r="K11" i="14"/>
  <c r="K11" i="13"/>
  <c r="AA11" i="27"/>
  <c r="K12" i="14"/>
  <c r="K12" i="13"/>
  <c r="AA12" i="27"/>
  <c r="K13" i="14"/>
  <c r="K13" i="13"/>
  <c r="AA13" i="27"/>
  <c r="AA14" i="27"/>
  <c r="K16" i="14"/>
  <c r="K16" i="13"/>
  <c r="AA16" i="27"/>
  <c r="K17" i="14"/>
  <c r="K17" i="13"/>
  <c r="AA17" i="27"/>
  <c r="K18" i="14"/>
  <c r="K18" i="13"/>
  <c r="AA18" i="27"/>
  <c r="K19" i="14"/>
  <c r="K19" i="13"/>
  <c r="AA19" i="27"/>
  <c r="K20" i="14"/>
  <c r="K20" i="13"/>
  <c r="AA20" i="27"/>
  <c r="K21" i="14"/>
  <c r="K21" i="13"/>
  <c r="AA21" i="27"/>
  <c r="K22" i="14"/>
  <c r="K22" i="13"/>
  <c r="AA22" i="27"/>
  <c r="K23" i="14"/>
  <c r="K23" i="13"/>
  <c r="AA23" i="27"/>
  <c r="K24" i="14"/>
  <c r="K24" i="13"/>
  <c r="AA24" i="27"/>
  <c r="AA25" i="27"/>
  <c r="AA26" i="27"/>
  <c r="AA37" i="27"/>
  <c r="AB29" i="27"/>
  <c r="AB30" i="27"/>
  <c r="AB31" i="27"/>
  <c r="AB32" i="27"/>
  <c r="AB34" i="27"/>
  <c r="AB35" i="27"/>
  <c r="AB36" i="27"/>
  <c r="AB9" i="27"/>
  <c r="AB10" i="27"/>
  <c r="AB11" i="27"/>
  <c r="AB12" i="27"/>
  <c r="AB13" i="27"/>
  <c r="AB14" i="27"/>
  <c r="AB16" i="27"/>
  <c r="AB17" i="27"/>
  <c r="AB18" i="27"/>
  <c r="AB19" i="27"/>
  <c r="AB20" i="27"/>
  <c r="AB21" i="27"/>
  <c r="AB22" i="27"/>
  <c r="AB23" i="27"/>
  <c r="AB24" i="27"/>
  <c r="AB25" i="27"/>
  <c r="AB26" i="27"/>
  <c r="AB37" i="27"/>
  <c r="L29" i="21"/>
  <c r="L29" i="7"/>
  <c r="K29" i="7"/>
  <c r="E7" i="37"/>
  <c r="D7" i="37"/>
  <c r="K29" i="21"/>
  <c r="N29" i="2"/>
  <c r="L29" i="20"/>
  <c r="K29" i="20"/>
  <c r="D9" i="37"/>
  <c r="E5" i="37"/>
  <c r="E9" i="37"/>
  <c r="D20" i="37"/>
  <c r="G9" i="37"/>
  <c r="E20" i="37"/>
  <c r="H9" i="37"/>
  <c r="H6" i="37"/>
  <c r="G6" i="37"/>
  <c r="E8" i="37"/>
  <c r="E4" i="37"/>
  <c r="E10" i="37"/>
  <c r="E27" i="37"/>
  <c r="E28" i="37"/>
  <c r="E13" i="37"/>
  <c r="E18" i="37"/>
  <c r="E30" i="37"/>
  <c r="D8" i="37"/>
  <c r="D4" i="37"/>
  <c r="D5" i="37"/>
  <c r="D10" i="37"/>
  <c r="D27" i="37"/>
  <c r="D28" i="37"/>
  <c r="D13" i="37"/>
  <c r="D18" i="37"/>
  <c r="D30" i="37"/>
  <c r="H4" i="37"/>
  <c r="G4" i="37"/>
  <c r="E12" i="37"/>
  <c r="E14" i="37"/>
  <c r="E16" i="37"/>
  <c r="E17" i="37"/>
  <c r="E21" i="37"/>
  <c r="E22" i="37"/>
  <c r="E26" i="37"/>
  <c r="D12" i="37"/>
  <c r="D14" i="37"/>
  <c r="D16" i="37"/>
  <c r="D17" i="37"/>
  <c r="D21" i="37"/>
  <c r="D22" i="37"/>
  <c r="D26" i="37"/>
  <c r="L29" i="22"/>
  <c r="AI29" i="27"/>
  <c r="L29" i="26"/>
  <c r="AJ29" i="27"/>
  <c r="AK29" i="27"/>
  <c r="K29" i="12"/>
  <c r="I32" i="10"/>
  <c r="I35" i="10"/>
  <c r="I36" i="10"/>
  <c r="I14" i="10"/>
  <c r="I25" i="10"/>
  <c r="I26" i="10"/>
  <c r="I37" i="10"/>
  <c r="I40" i="10"/>
  <c r="J4" i="10"/>
  <c r="J32" i="10"/>
  <c r="J35" i="10"/>
  <c r="J36" i="10"/>
  <c r="J14" i="10"/>
  <c r="J25" i="10"/>
  <c r="J26" i="10"/>
  <c r="J37" i="10"/>
  <c r="J40" i="10"/>
  <c r="K29" i="10"/>
  <c r="K14" i="30"/>
  <c r="K29" i="30"/>
  <c r="K29" i="35"/>
  <c r="K29" i="17"/>
  <c r="K29" i="22"/>
  <c r="AC29" i="27"/>
  <c r="L29" i="10"/>
  <c r="Q35" i="2"/>
  <c r="L29" i="12"/>
  <c r="L14" i="30"/>
  <c r="L29" i="30"/>
  <c r="L29" i="35"/>
  <c r="L29" i="17"/>
  <c r="N30" i="2"/>
  <c r="E22" i="36"/>
  <c r="E23" i="36"/>
  <c r="E24" i="36"/>
  <c r="E25" i="36"/>
  <c r="E26" i="36"/>
  <c r="E27" i="36"/>
  <c r="E28" i="36"/>
  <c r="D28" i="36"/>
  <c r="C22" i="36"/>
  <c r="C23" i="36"/>
  <c r="C24" i="36"/>
  <c r="C25" i="36"/>
  <c r="C26" i="36"/>
  <c r="C27" i="36"/>
  <c r="C28" i="36"/>
  <c r="B28" i="36"/>
  <c r="L17" i="5"/>
  <c r="K17" i="5"/>
  <c r="K20" i="3"/>
  <c r="L20" i="3"/>
  <c r="I17" i="36"/>
  <c r="I4" i="36"/>
  <c r="I5" i="36"/>
  <c r="I6" i="36"/>
  <c r="I7" i="36"/>
  <c r="I8" i="36"/>
  <c r="I9" i="36"/>
  <c r="I10" i="36"/>
  <c r="H17" i="36"/>
  <c r="H9" i="36"/>
  <c r="H8" i="36"/>
  <c r="H7" i="36"/>
  <c r="H6" i="36"/>
  <c r="H5" i="36"/>
  <c r="H4" i="36"/>
  <c r="K19" i="7"/>
  <c r="I32" i="11"/>
  <c r="I35" i="11"/>
  <c r="I36" i="11"/>
  <c r="I14" i="11"/>
  <c r="I25" i="11"/>
  <c r="I26" i="11"/>
  <c r="I37" i="11"/>
  <c r="I40" i="11"/>
  <c r="J4" i="11"/>
  <c r="J32" i="11"/>
  <c r="J35" i="11"/>
  <c r="J36" i="11"/>
  <c r="J14" i="11"/>
  <c r="J25" i="11"/>
  <c r="J26" i="11"/>
  <c r="J37" i="11"/>
  <c r="J40" i="11"/>
  <c r="K4" i="11"/>
  <c r="K32" i="11"/>
  <c r="K35" i="11"/>
  <c r="K36" i="11"/>
  <c r="K14" i="11"/>
  <c r="K25" i="11"/>
  <c r="K26" i="11"/>
  <c r="K37" i="11"/>
  <c r="K40" i="11"/>
  <c r="L4" i="11"/>
  <c r="L9" i="22"/>
  <c r="AI9" i="27"/>
  <c r="L9" i="26"/>
  <c r="AJ9" i="27"/>
  <c r="AK9" i="27"/>
  <c r="K31" i="26"/>
  <c r="K31" i="22"/>
  <c r="K31" i="27"/>
  <c r="K22" i="22"/>
  <c r="AC22" i="27"/>
  <c r="AD22" i="27"/>
  <c r="AE22" i="27"/>
  <c r="K16" i="22"/>
  <c r="AC16" i="27"/>
  <c r="AD16" i="27"/>
  <c r="AE16" i="27"/>
  <c r="K17" i="2"/>
  <c r="K17" i="8"/>
  <c r="K17" i="7"/>
  <c r="K17" i="22"/>
  <c r="AC17" i="27"/>
  <c r="AD17" i="27"/>
  <c r="AE17" i="27"/>
  <c r="K18" i="22"/>
  <c r="AC18" i="27"/>
  <c r="AD18" i="27"/>
  <c r="AE18" i="27"/>
  <c r="K19" i="3"/>
  <c r="K19" i="22"/>
  <c r="AC19" i="27"/>
  <c r="AD19" i="27"/>
  <c r="AE19" i="27"/>
  <c r="K20" i="22"/>
  <c r="AC20" i="27"/>
  <c r="AD20" i="27"/>
  <c r="AE20" i="27"/>
  <c r="K14" i="9"/>
  <c r="K21" i="9"/>
  <c r="K14" i="17"/>
  <c r="K21" i="17"/>
  <c r="K21" i="22"/>
  <c r="AC21" i="27"/>
  <c r="AD21" i="27"/>
  <c r="AE21" i="27"/>
  <c r="K23" i="22"/>
  <c r="AC23" i="27"/>
  <c r="AD23" i="27"/>
  <c r="AE23" i="27"/>
  <c r="K24" i="22"/>
  <c r="AC24" i="27"/>
  <c r="AD24" i="27"/>
  <c r="AE24" i="27"/>
  <c r="AE25" i="27"/>
  <c r="K9" i="22"/>
  <c r="AC9" i="27"/>
  <c r="K9" i="26"/>
  <c r="AD9" i="27"/>
  <c r="AE9" i="27"/>
  <c r="K10" i="22"/>
  <c r="AC10" i="27"/>
  <c r="K10" i="26"/>
  <c r="AD10" i="27"/>
  <c r="AE10" i="27"/>
  <c r="K11" i="22"/>
  <c r="AC11" i="27"/>
  <c r="K11" i="26"/>
  <c r="AD11" i="27"/>
  <c r="AE11" i="27"/>
  <c r="K12" i="22"/>
  <c r="AC12" i="27"/>
  <c r="K12" i="26"/>
  <c r="AD12" i="27"/>
  <c r="AE12" i="27"/>
  <c r="K13" i="22"/>
  <c r="AC13" i="27"/>
  <c r="K13" i="26"/>
  <c r="AD13" i="27"/>
  <c r="AE13" i="27"/>
  <c r="AE14" i="27"/>
  <c r="AE26" i="27"/>
  <c r="K29" i="26"/>
  <c r="AD29" i="27"/>
  <c r="AE29" i="27"/>
  <c r="K30" i="22"/>
  <c r="AC30" i="27"/>
  <c r="K30" i="26"/>
  <c r="AD30" i="27"/>
  <c r="AE30" i="27"/>
  <c r="AC31" i="27"/>
  <c r="AD31" i="27"/>
  <c r="AE31" i="27"/>
  <c r="AE32" i="27"/>
  <c r="K34" i="22"/>
  <c r="AC34" i="27"/>
  <c r="K34" i="26"/>
  <c r="AD34" i="27"/>
  <c r="AE34" i="27"/>
  <c r="AE35" i="27"/>
  <c r="AE36" i="27"/>
  <c r="AE37" i="27"/>
  <c r="I4" i="22"/>
  <c r="L14" i="17"/>
  <c r="L21" i="17"/>
  <c r="L25" i="17"/>
  <c r="L32" i="17"/>
  <c r="L14" i="9"/>
  <c r="L21" i="9"/>
  <c r="K32" i="21"/>
  <c r="L32" i="21"/>
  <c r="L17" i="2"/>
  <c r="L17" i="8"/>
  <c r="I29" i="18"/>
  <c r="I32" i="18"/>
  <c r="I35" i="18"/>
  <c r="I36" i="18"/>
  <c r="I14" i="18"/>
  <c r="I25" i="18"/>
  <c r="I26" i="18"/>
  <c r="I37" i="18"/>
  <c r="I40" i="18"/>
  <c r="J4" i="18"/>
  <c r="J32" i="18"/>
  <c r="J35" i="18"/>
  <c r="J36" i="18"/>
  <c r="J14" i="18"/>
  <c r="J25" i="18"/>
  <c r="J26" i="18"/>
  <c r="J37" i="18"/>
  <c r="J40" i="18"/>
  <c r="K4" i="18"/>
  <c r="K32" i="18"/>
  <c r="K35" i="18"/>
  <c r="K36" i="18"/>
  <c r="K14" i="18"/>
  <c r="K25" i="18"/>
  <c r="K26" i="18"/>
  <c r="K37" i="18"/>
  <c r="K40" i="18"/>
  <c r="L4" i="18"/>
  <c r="L32" i="18"/>
  <c r="L35" i="18"/>
  <c r="L36" i="18"/>
  <c r="L14" i="18"/>
  <c r="L25" i="18"/>
  <c r="L26" i="18"/>
  <c r="L37" i="18"/>
  <c r="L40" i="18"/>
  <c r="I32" i="15"/>
  <c r="I35" i="15"/>
  <c r="I36" i="15"/>
  <c r="I14" i="15"/>
  <c r="I25" i="15"/>
  <c r="I26" i="15"/>
  <c r="I37" i="15"/>
  <c r="I40" i="15"/>
  <c r="J4" i="15"/>
  <c r="J32" i="15"/>
  <c r="J35" i="15"/>
  <c r="J36" i="15"/>
  <c r="J14" i="15"/>
  <c r="J25" i="15"/>
  <c r="J26" i="15"/>
  <c r="J37" i="15"/>
  <c r="J40" i="15"/>
  <c r="K4" i="15"/>
  <c r="K32" i="15"/>
  <c r="K35" i="15"/>
  <c r="K36" i="15"/>
  <c r="K14" i="15"/>
  <c r="K25" i="15"/>
  <c r="K26" i="15"/>
  <c r="K37" i="15"/>
  <c r="K40" i="15"/>
  <c r="L4" i="15"/>
  <c r="L32" i="15"/>
  <c r="L35" i="15"/>
  <c r="L36" i="15"/>
  <c r="L14" i="15"/>
  <c r="L25" i="15"/>
  <c r="L26" i="15"/>
  <c r="L37" i="15"/>
  <c r="L40" i="15"/>
  <c r="I32" i="16"/>
  <c r="I35" i="16"/>
  <c r="I36" i="16"/>
  <c r="I14" i="16"/>
  <c r="I25" i="16"/>
  <c r="I26" i="16"/>
  <c r="I37" i="16"/>
  <c r="I40" i="16"/>
  <c r="J4" i="16"/>
  <c r="J32" i="16"/>
  <c r="J35" i="16"/>
  <c r="J36" i="16"/>
  <c r="J14" i="16"/>
  <c r="J25" i="16"/>
  <c r="J26" i="16"/>
  <c r="J37" i="16"/>
  <c r="J40" i="16"/>
  <c r="K4" i="16"/>
  <c r="K32" i="16"/>
  <c r="K35" i="16"/>
  <c r="K36" i="16"/>
  <c r="K14" i="16"/>
  <c r="K25" i="16"/>
  <c r="K26" i="16"/>
  <c r="K37" i="16"/>
  <c r="K40" i="16"/>
  <c r="L4" i="16"/>
  <c r="L32" i="16"/>
  <c r="L35" i="16"/>
  <c r="L36" i="16"/>
  <c r="L14" i="16"/>
  <c r="L25" i="16"/>
  <c r="L26" i="16"/>
  <c r="L37" i="16"/>
  <c r="L40" i="16"/>
  <c r="I32" i="17"/>
  <c r="I35" i="17"/>
  <c r="I36" i="17"/>
  <c r="I14" i="17"/>
  <c r="I25" i="17"/>
  <c r="I26" i="17"/>
  <c r="I37" i="17"/>
  <c r="I40" i="17"/>
  <c r="J4" i="17"/>
  <c r="J32" i="17"/>
  <c r="J35" i="17"/>
  <c r="J36" i="17"/>
  <c r="J14" i="17"/>
  <c r="J25" i="17"/>
  <c r="J26" i="17"/>
  <c r="J37" i="17"/>
  <c r="J40" i="17"/>
  <c r="K4" i="17"/>
  <c r="K32" i="17"/>
  <c r="K35" i="17"/>
  <c r="K36" i="17"/>
  <c r="K25" i="17"/>
  <c r="K26" i="17"/>
  <c r="K37" i="17"/>
  <c r="K40" i="17"/>
  <c r="L4" i="17"/>
  <c r="L35" i="17"/>
  <c r="L36" i="17"/>
  <c r="L26" i="17"/>
  <c r="L37" i="17"/>
  <c r="L40" i="17"/>
  <c r="I32" i="20"/>
  <c r="I35" i="20"/>
  <c r="I36" i="20"/>
  <c r="I14" i="20"/>
  <c r="I25" i="20"/>
  <c r="I26" i="20"/>
  <c r="I37" i="20"/>
  <c r="I40" i="20"/>
  <c r="J4" i="20"/>
  <c r="J32" i="20"/>
  <c r="J35" i="20"/>
  <c r="J36" i="20"/>
  <c r="J14" i="20"/>
  <c r="J25" i="20"/>
  <c r="J26" i="20"/>
  <c r="J37" i="20"/>
  <c r="J40" i="20"/>
  <c r="K4" i="20"/>
  <c r="K32" i="20"/>
  <c r="K35" i="20"/>
  <c r="K36" i="20"/>
  <c r="K14" i="20"/>
  <c r="K25" i="20"/>
  <c r="K26" i="20"/>
  <c r="K37" i="20"/>
  <c r="K40" i="20"/>
  <c r="L4" i="20"/>
  <c r="L32" i="20"/>
  <c r="L35" i="20"/>
  <c r="L36" i="20"/>
  <c r="L14" i="20"/>
  <c r="L25" i="20"/>
  <c r="L26" i="20"/>
  <c r="L37" i="20"/>
  <c r="L40" i="20"/>
  <c r="I29" i="14"/>
  <c r="I30" i="14"/>
  <c r="I31" i="14"/>
  <c r="I32" i="14"/>
  <c r="I34" i="13"/>
  <c r="I34" i="14"/>
  <c r="I35" i="14"/>
  <c r="I36" i="14"/>
  <c r="I9" i="14"/>
  <c r="I10" i="14"/>
  <c r="I11" i="14"/>
  <c r="I12" i="14"/>
  <c r="I13" i="14"/>
  <c r="I14" i="14"/>
  <c r="I16" i="2"/>
  <c r="I16" i="14"/>
  <c r="I17" i="14"/>
  <c r="I18" i="14"/>
  <c r="I19" i="14"/>
  <c r="I20" i="14"/>
  <c r="I21" i="14"/>
  <c r="I22" i="14"/>
  <c r="I23" i="14"/>
  <c r="I24" i="14"/>
  <c r="I25" i="14"/>
  <c r="I26" i="14"/>
  <c r="I37" i="14"/>
  <c r="J29" i="14"/>
  <c r="J30" i="14"/>
  <c r="J31" i="14"/>
  <c r="J32" i="14"/>
  <c r="J34" i="13"/>
  <c r="J34" i="14"/>
  <c r="J35" i="14"/>
  <c r="J36" i="14"/>
  <c r="J9" i="14"/>
  <c r="J10" i="14"/>
  <c r="J11" i="14"/>
  <c r="J12" i="14"/>
  <c r="J13" i="14"/>
  <c r="J14" i="14"/>
  <c r="J16" i="14"/>
  <c r="J17" i="14"/>
  <c r="J18" i="14"/>
  <c r="J19" i="14"/>
  <c r="J20" i="14"/>
  <c r="J21" i="14"/>
  <c r="J22" i="14"/>
  <c r="J23" i="14"/>
  <c r="J24" i="14"/>
  <c r="J25" i="14"/>
  <c r="J26" i="14"/>
  <c r="J37" i="14"/>
  <c r="J40" i="14"/>
  <c r="K4" i="14"/>
  <c r="K32" i="10"/>
  <c r="K35" i="14"/>
  <c r="K14" i="14"/>
  <c r="K25" i="10"/>
  <c r="K25" i="14"/>
  <c r="K26" i="14"/>
  <c r="L32" i="10"/>
  <c r="L32" i="14"/>
  <c r="L35" i="14"/>
  <c r="L36" i="14"/>
  <c r="L14" i="14"/>
  <c r="L17" i="7"/>
  <c r="L25" i="10"/>
  <c r="L25" i="14"/>
  <c r="L26" i="14"/>
  <c r="L37" i="14"/>
  <c r="I4" i="13"/>
  <c r="I29" i="13"/>
  <c r="I30" i="13"/>
  <c r="I31" i="13"/>
  <c r="I32" i="13"/>
  <c r="I35" i="13"/>
  <c r="I36" i="13"/>
  <c r="I9" i="13"/>
  <c r="I10" i="13"/>
  <c r="I11" i="13"/>
  <c r="I12" i="13"/>
  <c r="I13" i="13"/>
  <c r="I14" i="13"/>
  <c r="I16" i="13"/>
  <c r="I17" i="13"/>
  <c r="I18" i="13"/>
  <c r="I19" i="13"/>
  <c r="I20" i="13"/>
  <c r="I21" i="13"/>
  <c r="I22" i="13"/>
  <c r="I23" i="13"/>
  <c r="I24" i="13"/>
  <c r="I25" i="13"/>
  <c r="I26" i="13"/>
  <c r="I37" i="13"/>
  <c r="I40" i="13"/>
  <c r="J4" i="13"/>
  <c r="J29" i="13"/>
  <c r="J30" i="13"/>
  <c r="J31" i="13"/>
  <c r="J32" i="13"/>
  <c r="J35" i="13"/>
  <c r="J36" i="13"/>
  <c r="J9" i="13"/>
  <c r="J10" i="13"/>
  <c r="J11" i="13"/>
  <c r="J12" i="13"/>
  <c r="J13" i="13"/>
  <c r="J14" i="13"/>
  <c r="J16" i="13"/>
  <c r="J17" i="13"/>
  <c r="J18" i="13"/>
  <c r="J19" i="13"/>
  <c r="J20" i="13"/>
  <c r="J21" i="13"/>
  <c r="J22" i="13"/>
  <c r="J23" i="13"/>
  <c r="J24" i="13"/>
  <c r="J25" i="13"/>
  <c r="J26" i="13"/>
  <c r="J37" i="13"/>
  <c r="J40" i="13"/>
  <c r="K4" i="13"/>
  <c r="K32" i="13"/>
  <c r="K35" i="13"/>
  <c r="K36" i="13"/>
  <c r="K14" i="13"/>
  <c r="K25" i="13"/>
  <c r="K26" i="13"/>
  <c r="K37" i="13"/>
  <c r="K40" i="13"/>
  <c r="L4" i="13"/>
  <c r="L32" i="13"/>
  <c r="L35" i="13"/>
  <c r="L36" i="13"/>
  <c r="L14" i="13"/>
  <c r="L25" i="13"/>
  <c r="L26" i="13"/>
  <c r="L37" i="13"/>
  <c r="L40" i="13"/>
  <c r="I32" i="35"/>
  <c r="I35" i="35"/>
  <c r="I36" i="35"/>
  <c r="I37" i="35"/>
  <c r="I40" i="35"/>
  <c r="J4" i="35"/>
  <c r="J32" i="35"/>
  <c r="J35" i="35"/>
  <c r="J36" i="35"/>
  <c r="J37" i="35"/>
  <c r="J40" i="35"/>
  <c r="K4" i="35"/>
  <c r="K32" i="35"/>
  <c r="K35" i="35"/>
  <c r="K36" i="35"/>
  <c r="K37" i="35"/>
  <c r="K40" i="35"/>
  <c r="L4" i="35"/>
  <c r="L32" i="35"/>
  <c r="L35" i="35"/>
  <c r="L36" i="35"/>
  <c r="L37" i="35"/>
  <c r="L40" i="35"/>
  <c r="I32" i="32"/>
  <c r="I35" i="32"/>
  <c r="I36" i="32"/>
  <c r="I37" i="32"/>
  <c r="I40" i="32"/>
  <c r="J4" i="32"/>
  <c r="J32" i="32"/>
  <c r="J35" i="32"/>
  <c r="J36" i="32"/>
  <c r="J37" i="32"/>
  <c r="J40" i="32"/>
  <c r="K4" i="32"/>
  <c r="K32" i="32"/>
  <c r="K35" i="32"/>
  <c r="K36" i="32"/>
  <c r="K37" i="32"/>
  <c r="K40" i="32"/>
  <c r="L4" i="32"/>
  <c r="L32" i="32"/>
  <c r="L35" i="32"/>
  <c r="L36" i="32"/>
  <c r="L37" i="32"/>
  <c r="L40" i="32"/>
  <c r="I32" i="30"/>
  <c r="I35" i="30"/>
  <c r="I36" i="30"/>
  <c r="I14" i="30"/>
  <c r="I25" i="30"/>
  <c r="I26" i="30"/>
  <c r="I37" i="30"/>
  <c r="I40" i="30"/>
  <c r="J4" i="30"/>
  <c r="J32" i="30"/>
  <c r="J35" i="30"/>
  <c r="J36" i="30"/>
  <c r="J14" i="30"/>
  <c r="J25" i="30"/>
  <c r="J26" i="30"/>
  <c r="J37" i="30"/>
  <c r="J40" i="30"/>
  <c r="K4" i="30"/>
  <c r="K32" i="30"/>
  <c r="K35" i="30"/>
  <c r="K36" i="30"/>
  <c r="K25" i="30"/>
  <c r="K26" i="30"/>
  <c r="K37" i="30"/>
  <c r="K40" i="30"/>
  <c r="L4" i="30"/>
  <c r="L32" i="30"/>
  <c r="L35" i="30"/>
  <c r="L36" i="30"/>
  <c r="L25" i="30"/>
  <c r="L26" i="30"/>
  <c r="L37" i="30"/>
  <c r="L40" i="30"/>
  <c r="I32" i="9"/>
  <c r="I35" i="9"/>
  <c r="I36" i="9"/>
  <c r="I14" i="9"/>
  <c r="I25" i="9"/>
  <c r="I26" i="9"/>
  <c r="I37" i="9"/>
  <c r="I40" i="9"/>
  <c r="J4" i="9"/>
  <c r="J32" i="9"/>
  <c r="J35" i="9"/>
  <c r="J36" i="9"/>
  <c r="J14" i="9"/>
  <c r="J25" i="9"/>
  <c r="J26" i="9"/>
  <c r="J37" i="9"/>
  <c r="J40" i="9"/>
  <c r="K4" i="9"/>
  <c r="K32" i="9"/>
  <c r="K35" i="9"/>
  <c r="K36" i="9"/>
  <c r="K25" i="9"/>
  <c r="K26" i="9"/>
  <c r="K37" i="9"/>
  <c r="K40" i="9"/>
  <c r="L4" i="9"/>
  <c r="L32" i="9"/>
  <c r="L35" i="9"/>
  <c r="L36" i="9"/>
  <c r="L25" i="9"/>
  <c r="L26" i="9"/>
  <c r="L37" i="9"/>
  <c r="L40" i="9"/>
  <c r="K4" i="10"/>
  <c r="K35" i="10"/>
  <c r="K36" i="10"/>
  <c r="K14" i="10"/>
  <c r="K26" i="10"/>
  <c r="K37" i="10"/>
  <c r="K40" i="10"/>
  <c r="L4" i="10"/>
  <c r="L35" i="10"/>
  <c r="L36" i="10"/>
  <c r="L14" i="10"/>
  <c r="L26" i="10"/>
  <c r="L37" i="10"/>
  <c r="L40" i="10"/>
  <c r="I32" i="33"/>
  <c r="I35" i="33"/>
  <c r="I36" i="33"/>
  <c r="I14" i="33"/>
  <c r="I25" i="33"/>
  <c r="I26" i="33"/>
  <c r="I37" i="33"/>
  <c r="I40" i="33"/>
  <c r="J4" i="33"/>
  <c r="J32" i="33"/>
  <c r="J35" i="33"/>
  <c r="J36" i="33"/>
  <c r="J14" i="33"/>
  <c r="J25" i="33"/>
  <c r="J26" i="33"/>
  <c r="J37" i="33"/>
  <c r="J40" i="33"/>
  <c r="K4" i="33"/>
  <c r="K32" i="33"/>
  <c r="K35" i="33"/>
  <c r="K36" i="33"/>
  <c r="K14" i="33"/>
  <c r="K25" i="33"/>
  <c r="K26" i="33"/>
  <c r="K37" i="33"/>
  <c r="K40" i="33"/>
  <c r="L4" i="33"/>
  <c r="L32" i="33"/>
  <c r="L35" i="33"/>
  <c r="L36" i="33"/>
  <c r="L14" i="33"/>
  <c r="L25" i="33"/>
  <c r="L26" i="33"/>
  <c r="L37" i="33"/>
  <c r="L40" i="33"/>
  <c r="I32" i="19"/>
  <c r="I35" i="19"/>
  <c r="I36" i="19"/>
  <c r="I14" i="19"/>
  <c r="I25" i="19"/>
  <c r="I26" i="19"/>
  <c r="I37" i="19"/>
  <c r="I40" i="19"/>
  <c r="J4" i="19"/>
  <c r="J32" i="19"/>
  <c r="J35" i="19"/>
  <c r="J36" i="19"/>
  <c r="J14" i="19"/>
  <c r="J25" i="19"/>
  <c r="J26" i="19"/>
  <c r="J37" i="19"/>
  <c r="J40" i="19"/>
  <c r="K4" i="19"/>
  <c r="K32" i="19"/>
  <c r="K35" i="19"/>
  <c r="K36" i="19"/>
  <c r="K14" i="19"/>
  <c r="K25" i="19"/>
  <c r="K26" i="19"/>
  <c r="K37" i="19"/>
  <c r="K40" i="19"/>
  <c r="L4" i="19"/>
  <c r="L32" i="19"/>
  <c r="L35" i="19"/>
  <c r="L36" i="19"/>
  <c r="L14" i="19"/>
  <c r="L25" i="19"/>
  <c r="L26" i="19"/>
  <c r="L37" i="19"/>
  <c r="L40" i="19"/>
  <c r="I32" i="29"/>
  <c r="I35" i="29"/>
  <c r="I36" i="29"/>
  <c r="I14" i="29"/>
  <c r="I25" i="29"/>
  <c r="I26" i="29"/>
  <c r="I37" i="29"/>
  <c r="I40" i="29"/>
  <c r="J4" i="29"/>
  <c r="J32" i="29"/>
  <c r="J35" i="29"/>
  <c r="J36" i="29"/>
  <c r="J14" i="29"/>
  <c r="J25" i="29"/>
  <c r="J26" i="29"/>
  <c r="J37" i="29"/>
  <c r="J40" i="29"/>
  <c r="K4" i="29"/>
  <c r="K32" i="29"/>
  <c r="K35" i="29"/>
  <c r="K36" i="29"/>
  <c r="K14" i="29"/>
  <c r="K25" i="29"/>
  <c r="K26" i="29"/>
  <c r="K37" i="29"/>
  <c r="K40" i="29"/>
  <c r="L4" i="29"/>
  <c r="L32" i="29"/>
  <c r="L35" i="29"/>
  <c r="L36" i="29"/>
  <c r="L14" i="29"/>
  <c r="L25" i="29"/>
  <c r="L26" i="29"/>
  <c r="L37" i="29"/>
  <c r="L40" i="29"/>
  <c r="I32" i="21"/>
  <c r="I35" i="21"/>
  <c r="I36" i="21"/>
  <c r="I14" i="21"/>
  <c r="I25" i="21"/>
  <c r="I26" i="21"/>
  <c r="I37" i="21"/>
  <c r="I40" i="21"/>
  <c r="J4" i="21"/>
  <c r="J32" i="21"/>
  <c r="J35" i="21"/>
  <c r="J36" i="21"/>
  <c r="J14" i="21"/>
  <c r="J25" i="21"/>
  <c r="J26" i="21"/>
  <c r="J37" i="21"/>
  <c r="J40" i="21"/>
  <c r="K4" i="21"/>
  <c r="K35" i="21"/>
  <c r="K36" i="21"/>
  <c r="K14" i="21"/>
  <c r="K25" i="21"/>
  <c r="K26" i="21"/>
  <c r="K37" i="21"/>
  <c r="K40" i="21"/>
  <c r="L4" i="21"/>
  <c r="L35" i="21"/>
  <c r="L36" i="21"/>
  <c r="L14" i="21"/>
  <c r="L25" i="21"/>
  <c r="L26" i="21"/>
  <c r="L37" i="21"/>
  <c r="L40" i="21"/>
  <c r="I29" i="22"/>
  <c r="I30" i="22"/>
  <c r="I31" i="22"/>
  <c r="I32" i="22"/>
  <c r="I34" i="22"/>
  <c r="I35" i="22"/>
  <c r="I36" i="22"/>
  <c r="I9" i="22"/>
  <c r="I10" i="22"/>
  <c r="I11" i="22"/>
  <c r="I12" i="22"/>
  <c r="I13" i="22"/>
  <c r="I14" i="22"/>
  <c r="I16" i="22"/>
  <c r="I17" i="22"/>
  <c r="I18" i="22"/>
  <c r="I19" i="22"/>
  <c r="I20" i="22"/>
  <c r="I21" i="22"/>
  <c r="I22" i="22"/>
  <c r="I23" i="22"/>
  <c r="I24" i="22"/>
  <c r="I25" i="22"/>
  <c r="I26" i="22"/>
  <c r="I37" i="22"/>
  <c r="I40" i="22"/>
  <c r="J4" i="22"/>
  <c r="J29" i="22"/>
  <c r="J30" i="22"/>
  <c r="J31" i="22"/>
  <c r="J32" i="22"/>
  <c r="J34" i="22"/>
  <c r="J35" i="22"/>
  <c r="J36" i="22"/>
  <c r="J9" i="22"/>
  <c r="J10" i="22"/>
  <c r="J11" i="22"/>
  <c r="J12" i="22"/>
  <c r="J13" i="22"/>
  <c r="J14" i="22"/>
  <c r="J16" i="22"/>
  <c r="J17" i="22"/>
  <c r="J18" i="22"/>
  <c r="J19" i="22"/>
  <c r="J20" i="22"/>
  <c r="J21" i="22"/>
  <c r="J22" i="22"/>
  <c r="J23" i="22"/>
  <c r="J24" i="22"/>
  <c r="J25" i="22"/>
  <c r="J26" i="22"/>
  <c r="J37" i="22"/>
  <c r="J40" i="22"/>
  <c r="K4" i="22"/>
  <c r="K32" i="22"/>
  <c r="K35" i="22"/>
  <c r="K36" i="22"/>
  <c r="K14" i="22"/>
  <c r="K25" i="22"/>
  <c r="K26" i="22"/>
  <c r="K37" i="22"/>
  <c r="K40" i="22"/>
  <c r="L4" i="22"/>
  <c r="L30" i="22"/>
  <c r="L31" i="22"/>
  <c r="L32" i="22"/>
  <c r="L34" i="22"/>
  <c r="L35" i="22"/>
  <c r="L36" i="22"/>
  <c r="L10" i="22"/>
  <c r="L11" i="22"/>
  <c r="L12" i="22"/>
  <c r="L13" i="22"/>
  <c r="L14" i="22"/>
  <c r="L16" i="22"/>
  <c r="L17" i="22"/>
  <c r="L18" i="22"/>
  <c r="L19" i="22"/>
  <c r="L20" i="22"/>
  <c r="L21" i="22"/>
  <c r="L22" i="22"/>
  <c r="L23" i="22"/>
  <c r="L24" i="22"/>
  <c r="L25" i="22"/>
  <c r="L26" i="22"/>
  <c r="L37" i="22"/>
  <c r="L40" i="22"/>
  <c r="I32" i="23"/>
  <c r="I35" i="23"/>
  <c r="I36" i="23"/>
  <c r="I14" i="23"/>
  <c r="I25" i="23"/>
  <c r="I26" i="23"/>
  <c r="I37" i="23"/>
  <c r="I40" i="23"/>
  <c r="J4" i="23"/>
  <c r="J32" i="23"/>
  <c r="J35" i="23"/>
  <c r="J36" i="23"/>
  <c r="J14" i="23"/>
  <c r="J25" i="23"/>
  <c r="J26" i="23"/>
  <c r="J37" i="23"/>
  <c r="J40" i="23"/>
  <c r="K4" i="23"/>
  <c r="K32" i="23"/>
  <c r="K35" i="23"/>
  <c r="K36" i="23"/>
  <c r="K14" i="23"/>
  <c r="K25" i="23"/>
  <c r="K26" i="23"/>
  <c r="K37" i="23"/>
  <c r="K40" i="23"/>
  <c r="L4" i="23"/>
  <c r="L32" i="23"/>
  <c r="L35" i="23"/>
  <c r="L36" i="23"/>
  <c r="L14" i="23"/>
  <c r="L25" i="23"/>
  <c r="L26" i="23"/>
  <c r="L37" i="23"/>
  <c r="L40" i="23"/>
  <c r="I32" i="24"/>
  <c r="I35" i="24"/>
  <c r="I36" i="24"/>
  <c r="I14" i="24"/>
  <c r="I25" i="24"/>
  <c r="I26" i="24"/>
  <c r="I37" i="24"/>
  <c r="I40" i="24"/>
  <c r="J4" i="24"/>
  <c r="J32" i="24"/>
  <c r="J35" i="24"/>
  <c r="J36" i="24"/>
  <c r="J14" i="24"/>
  <c r="J25" i="24"/>
  <c r="J26" i="24"/>
  <c r="J37" i="24"/>
  <c r="J40" i="24"/>
  <c r="K4" i="24"/>
  <c r="K32" i="24"/>
  <c r="K35" i="24"/>
  <c r="K36" i="24"/>
  <c r="K14" i="24"/>
  <c r="K25" i="24"/>
  <c r="K26" i="24"/>
  <c r="K37" i="24"/>
  <c r="K40" i="24"/>
  <c r="L4" i="24"/>
  <c r="L32" i="24"/>
  <c r="L35" i="24"/>
  <c r="L36" i="24"/>
  <c r="L14" i="24"/>
  <c r="L25" i="24"/>
  <c r="L26" i="24"/>
  <c r="L37" i="24"/>
  <c r="L40" i="24"/>
  <c r="I32" i="25"/>
  <c r="I35" i="25"/>
  <c r="I36" i="25"/>
  <c r="I14" i="25"/>
  <c r="I25" i="25"/>
  <c r="I26" i="25"/>
  <c r="I37" i="25"/>
  <c r="I40" i="25"/>
  <c r="J4" i="25"/>
  <c r="J32" i="25"/>
  <c r="J35" i="25"/>
  <c r="J36" i="25"/>
  <c r="J14" i="25"/>
  <c r="J25" i="25"/>
  <c r="J26" i="25"/>
  <c r="J37" i="25"/>
  <c r="J40" i="25"/>
  <c r="K4" i="25"/>
  <c r="K32" i="25"/>
  <c r="K35" i="25"/>
  <c r="K36" i="25"/>
  <c r="K14" i="25"/>
  <c r="K25" i="25"/>
  <c r="K26" i="25"/>
  <c r="K37" i="25"/>
  <c r="K40" i="25"/>
  <c r="L4" i="25"/>
  <c r="L32" i="25"/>
  <c r="L35" i="25"/>
  <c r="L36" i="25"/>
  <c r="L14" i="25"/>
  <c r="L25" i="25"/>
  <c r="L26" i="25"/>
  <c r="L37" i="25"/>
  <c r="L40" i="25"/>
  <c r="I4" i="26"/>
  <c r="I29" i="26"/>
  <c r="I30" i="26"/>
  <c r="I31" i="26"/>
  <c r="I32" i="26"/>
  <c r="I34" i="26"/>
  <c r="I35" i="26"/>
  <c r="I36" i="26"/>
  <c r="I9" i="26"/>
  <c r="I10" i="26"/>
  <c r="I11" i="26"/>
  <c r="I12" i="26"/>
  <c r="I13" i="26"/>
  <c r="I14" i="26"/>
  <c r="I16" i="26"/>
  <c r="I17" i="26"/>
  <c r="I18" i="26"/>
  <c r="I19" i="26"/>
  <c r="I20" i="26"/>
  <c r="I21" i="26"/>
  <c r="I22" i="26"/>
  <c r="I23" i="26"/>
  <c r="I24" i="26"/>
  <c r="I25" i="26"/>
  <c r="I26" i="26"/>
  <c r="I37" i="26"/>
  <c r="I40" i="26"/>
  <c r="J4" i="26"/>
  <c r="J29" i="26"/>
  <c r="J30" i="26"/>
  <c r="J31" i="26"/>
  <c r="J32" i="26"/>
  <c r="J34" i="26"/>
  <c r="J35" i="26"/>
  <c r="J36" i="26"/>
  <c r="J9" i="26"/>
  <c r="J10" i="26"/>
  <c r="J11" i="26"/>
  <c r="J12" i="26"/>
  <c r="J13" i="26"/>
  <c r="J14" i="26"/>
  <c r="J16" i="26"/>
  <c r="J17" i="26"/>
  <c r="J18" i="26"/>
  <c r="J19" i="26"/>
  <c r="J20" i="26"/>
  <c r="J21" i="26"/>
  <c r="J22" i="26"/>
  <c r="J23" i="26"/>
  <c r="J24" i="26"/>
  <c r="J25" i="26"/>
  <c r="J26" i="26"/>
  <c r="J37" i="26"/>
  <c r="J40" i="26"/>
  <c r="K4" i="26"/>
  <c r="K32" i="26"/>
  <c r="K35" i="26"/>
  <c r="K36" i="26"/>
  <c r="K14" i="26"/>
  <c r="K16" i="26"/>
  <c r="K17" i="26"/>
  <c r="K18" i="26"/>
  <c r="K19" i="26"/>
  <c r="K20" i="26"/>
  <c r="K21" i="26"/>
  <c r="K22" i="26"/>
  <c r="K23" i="26"/>
  <c r="K24" i="26"/>
  <c r="K25" i="26"/>
  <c r="K26" i="26"/>
  <c r="K37" i="26"/>
  <c r="K40" i="26"/>
  <c r="L4" i="26"/>
  <c r="L30" i="26"/>
  <c r="L31" i="26"/>
  <c r="L32" i="26"/>
  <c r="L34" i="26"/>
  <c r="L35" i="26"/>
  <c r="L36" i="26"/>
  <c r="L10" i="26"/>
  <c r="L11" i="26"/>
  <c r="L12" i="26"/>
  <c r="L13" i="26"/>
  <c r="L14" i="26"/>
  <c r="L16" i="26"/>
  <c r="L17" i="26"/>
  <c r="L18" i="26"/>
  <c r="L19" i="26"/>
  <c r="L20" i="26"/>
  <c r="L21" i="26"/>
  <c r="L22" i="26"/>
  <c r="L23" i="26"/>
  <c r="L24" i="26"/>
  <c r="L25" i="26"/>
  <c r="L26" i="26"/>
  <c r="L37" i="26"/>
  <c r="L40" i="26"/>
  <c r="J29" i="27"/>
  <c r="J30" i="27"/>
  <c r="J31" i="27"/>
  <c r="J32" i="27"/>
  <c r="J34" i="27"/>
  <c r="J35" i="27"/>
  <c r="J36" i="27"/>
  <c r="J9" i="27"/>
  <c r="J10" i="27"/>
  <c r="J11" i="27"/>
  <c r="J12" i="27"/>
  <c r="J13" i="27"/>
  <c r="J14" i="27"/>
  <c r="J16" i="27"/>
  <c r="J17" i="27"/>
  <c r="J18" i="27"/>
  <c r="J19" i="27"/>
  <c r="J20" i="27"/>
  <c r="J21" i="27"/>
  <c r="J22" i="27"/>
  <c r="J23" i="27"/>
  <c r="J24" i="27"/>
  <c r="J25" i="27"/>
  <c r="J26" i="27"/>
  <c r="J37" i="27"/>
  <c r="J40" i="27"/>
  <c r="K4" i="27"/>
  <c r="K30" i="27"/>
  <c r="K34" i="27"/>
  <c r="K35" i="27"/>
  <c r="K9" i="27"/>
  <c r="K10" i="27"/>
  <c r="K11" i="27"/>
  <c r="K12" i="27"/>
  <c r="K13" i="27"/>
  <c r="K14" i="27"/>
  <c r="K16" i="27"/>
  <c r="K17" i="27"/>
  <c r="K18" i="27"/>
  <c r="K19" i="27"/>
  <c r="K20" i="27"/>
  <c r="K21" i="27"/>
  <c r="K22" i="27"/>
  <c r="K23" i="27"/>
  <c r="K24" i="27"/>
  <c r="K25" i="27"/>
  <c r="K26" i="27"/>
  <c r="L29" i="27"/>
  <c r="L30" i="27"/>
  <c r="L31" i="27"/>
  <c r="L32" i="27"/>
  <c r="L34" i="27"/>
  <c r="L35" i="27"/>
  <c r="L36" i="27"/>
  <c r="L9" i="27"/>
  <c r="L10" i="27"/>
  <c r="L11" i="27"/>
  <c r="L12" i="27"/>
  <c r="L13" i="27"/>
  <c r="L14" i="27"/>
  <c r="L16" i="27"/>
  <c r="L17" i="27"/>
  <c r="L18" i="27"/>
  <c r="L19" i="27"/>
  <c r="L20" i="27"/>
  <c r="L21" i="27"/>
  <c r="L22" i="27"/>
  <c r="L23" i="27"/>
  <c r="L24" i="27"/>
  <c r="L25" i="27"/>
  <c r="L26" i="27"/>
  <c r="L37" i="27"/>
  <c r="I32" i="12"/>
  <c r="I35" i="12"/>
  <c r="I36" i="12"/>
  <c r="I14" i="12"/>
  <c r="I25" i="12"/>
  <c r="I26" i="12"/>
  <c r="I37" i="12"/>
  <c r="I40" i="12"/>
  <c r="J4" i="12"/>
  <c r="J32" i="12"/>
  <c r="J35" i="12"/>
  <c r="J36" i="12"/>
  <c r="J14" i="12"/>
  <c r="J25" i="12"/>
  <c r="J26" i="12"/>
  <c r="J37" i="12"/>
  <c r="J40" i="12"/>
  <c r="K4" i="12"/>
  <c r="K32" i="12"/>
  <c r="K35" i="12"/>
  <c r="K36" i="12"/>
  <c r="K14" i="12"/>
  <c r="K25" i="12"/>
  <c r="K26" i="12"/>
  <c r="K37" i="12"/>
  <c r="K40" i="12"/>
  <c r="L4" i="12"/>
  <c r="L32" i="12"/>
  <c r="L35" i="12"/>
  <c r="L36" i="12"/>
  <c r="L14" i="12"/>
  <c r="L25" i="12"/>
  <c r="L26" i="12"/>
  <c r="L37" i="12"/>
  <c r="L40" i="12"/>
  <c r="X30" i="27"/>
  <c r="X31" i="27"/>
  <c r="X29" i="27"/>
  <c r="X17" i="27"/>
  <c r="X18" i="27"/>
  <c r="X19" i="27"/>
  <c r="X20" i="27"/>
  <c r="X21" i="27"/>
  <c r="X22" i="27"/>
  <c r="X23" i="27"/>
  <c r="X24" i="27"/>
  <c r="X16" i="27"/>
  <c r="X10" i="27"/>
  <c r="X11" i="27"/>
  <c r="X12" i="27"/>
  <c r="X13" i="27"/>
  <c r="X9" i="27"/>
  <c r="W30" i="27"/>
  <c r="W31" i="27"/>
  <c r="W29" i="27"/>
  <c r="W24" i="27"/>
  <c r="W17" i="27"/>
  <c r="W18" i="27"/>
  <c r="W19" i="27"/>
  <c r="W20" i="27"/>
  <c r="W21" i="27"/>
  <c r="W22" i="27"/>
  <c r="W23" i="27"/>
  <c r="W16" i="27"/>
  <c r="W10" i="27"/>
  <c r="W11" i="27"/>
  <c r="W12" i="27"/>
  <c r="W13" i="27"/>
  <c r="V30" i="27"/>
  <c r="V31" i="27"/>
  <c r="V29" i="27"/>
  <c r="V17" i="27"/>
  <c r="V18" i="27"/>
  <c r="V19" i="27"/>
  <c r="V20" i="27"/>
  <c r="V21" i="27"/>
  <c r="V22" i="27"/>
  <c r="V23" i="27"/>
  <c r="V24" i="27"/>
  <c r="V16" i="27"/>
  <c r="V10" i="27"/>
  <c r="V11" i="27"/>
  <c r="V12" i="27"/>
  <c r="V13" i="27"/>
  <c r="V9" i="27"/>
  <c r="W9" i="27"/>
  <c r="U30" i="27"/>
  <c r="U31" i="27"/>
  <c r="U29" i="27"/>
  <c r="U24" i="27"/>
  <c r="U17" i="27"/>
  <c r="U18" i="27"/>
  <c r="U19" i="27"/>
  <c r="U20" i="27"/>
  <c r="U21" i="27"/>
  <c r="U22" i="27"/>
  <c r="U23" i="27"/>
  <c r="U16" i="27"/>
  <c r="U10" i="27"/>
  <c r="U11" i="27"/>
  <c r="U12" i="27"/>
  <c r="U13" i="27"/>
  <c r="U9" i="27"/>
  <c r="Y29" i="27"/>
  <c r="Y30" i="27"/>
  <c r="Y31" i="27"/>
  <c r="Y32" i="27"/>
  <c r="U34" i="27"/>
  <c r="V34" i="27"/>
  <c r="W34" i="27"/>
  <c r="X34" i="27"/>
  <c r="Y34" i="27"/>
  <c r="Y35" i="27"/>
  <c r="Y36" i="27"/>
  <c r="Y9" i="27"/>
  <c r="Y10" i="27"/>
  <c r="Y11" i="27"/>
  <c r="Y12" i="27"/>
  <c r="Y13" i="27"/>
  <c r="Y14" i="27"/>
  <c r="Y16" i="27"/>
  <c r="Y17" i="27"/>
  <c r="Y18" i="27"/>
  <c r="Y19" i="27"/>
  <c r="Y20" i="27"/>
  <c r="Y21" i="27"/>
  <c r="Y22" i="27"/>
  <c r="Y23" i="27"/>
  <c r="Y24" i="27"/>
  <c r="Y25" i="27"/>
  <c r="Y26" i="27"/>
  <c r="Y37" i="27"/>
  <c r="X32" i="27"/>
  <c r="X35" i="27"/>
  <c r="X36" i="27"/>
  <c r="X14" i="27"/>
  <c r="X25" i="27"/>
  <c r="X26" i="27"/>
  <c r="X37" i="27"/>
  <c r="W32" i="27"/>
  <c r="W35" i="27"/>
  <c r="W36" i="27"/>
  <c r="W14" i="27"/>
  <c r="W25" i="27"/>
  <c r="W26" i="27"/>
  <c r="W37" i="27"/>
  <c r="V32" i="27"/>
  <c r="V35" i="27"/>
  <c r="V36" i="27"/>
  <c r="V14" i="27"/>
  <c r="V25" i="27"/>
  <c r="V26" i="27"/>
  <c r="V37" i="27"/>
  <c r="U32" i="27"/>
  <c r="U35" i="27"/>
  <c r="U36" i="27"/>
  <c r="U14" i="27"/>
  <c r="U25" i="27"/>
  <c r="U26" i="27"/>
  <c r="U37" i="27"/>
  <c r="R30" i="27"/>
  <c r="R31" i="27"/>
  <c r="R29" i="27"/>
  <c r="Q30" i="27"/>
  <c r="Q31" i="27"/>
  <c r="Q29" i="27"/>
  <c r="P30" i="27"/>
  <c r="P31" i="27"/>
  <c r="P29" i="27"/>
  <c r="O30" i="27"/>
  <c r="O31" i="27"/>
  <c r="O29" i="27"/>
  <c r="R17" i="27"/>
  <c r="R18" i="27"/>
  <c r="R19" i="27"/>
  <c r="R20" i="27"/>
  <c r="R21" i="27"/>
  <c r="R22" i="27"/>
  <c r="R23" i="27"/>
  <c r="R24" i="27"/>
  <c r="R16" i="27"/>
  <c r="Q17" i="27"/>
  <c r="Q18" i="27"/>
  <c r="Q19" i="27"/>
  <c r="Q20" i="27"/>
  <c r="Q21" i="27"/>
  <c r="Q22" i="27"/>
  <c r="Q23" i="27"/>
  <c r="Q24" i="27"/>
  <c r="Q16" i="27"/>
  <c r="P17" i="27"/>
  <c r="P18" i="27"/>
  <c r="P19" i="27"/>
  <c r="P20" i="27"/>
  <c r="P21" i="27"/>
  <c r="P22" i="27"/>
  <c r="P23" i="27"/>
  <c r="P24" i="27"/>
  <c r="P16" i="27"/>
  <c r="O17" i="27"/>
  <c r="O18" i="27"/>
  <c r="O19" i="27"/>
  <c r="O20" i="27"/>
  <c r="O21" i="27"/>
  <c r="O22" i="27"/>
  <c r="O23" i="27"/>
  <c r="O24" i="27"/>
  <c r="O16" i="27"/>
  <c r="R10" i="27"/>
  <c r="R11" i="27"/>
  <c r="R12" i="27"/>
  <c r="R13" i="27"/>
  <c r="Q10" i="27"/>
  <c r="Q11" i="27"/>
  <c r="Q12" i="27"/>
  <c r="Q13" i="27"/>
  <c r="P10" i="27"/>
  <c r="P11" i="27"/>
  <c r="P12" i="27"/>
  <c r="P13" i="27"/>
  <c r="O10" i="27"/>
  <c r="O11" i="27"/>
  <c r="O12" i="27"/>
  <c r="O13" i="27"/>
  <c r="R9" i="27"/>
  <c r="Q9" i="27"/>
  <c r="P9" i="27"/>
  <c r="O9" i="27"/>
  <c r="S29" i="27"/>
  <c r="S30" i="27"/>
  <c r="S31" i="27"/>
  <c r="S32" i="27"/>
  <c r="O34" i="27"/>
  <c r="P34" i="27"/>
  <c r="Q34" i="27"/>
  <c r="R34" i="27"/>
  <c r="S34" i="27"/>
  <c r="S35" i="27"/>
  <c r="S36" i="27"/>
  <c r="S9" i="27"/>
  <c r="S10" i="27"/>
  <c r="S11" i="27"/>
  <c r="S12" i="27"/>
  <c r="S13" i="27"/>
  <c r="S14" i="27"/>
  <c r="S16" i="27"/>
  <c r="S17" i="27"/>
  <c r="S18" i="27"/>
  <c r="S19" i="27"/>
  <c r="S20" i="27"/>
  <c r="S21" i="27"/>
  <c r="S22" i="27"/>
  <c r="S23" i="27"/>
  <c r="S24" i="27"/>
  <c r="S25" i="27"/>
  <c r="S26" i="27"/>
  <c r="S37" i="27"/>
  <c r="R32" i="27"/>
  <c r="R35" i="27"/>
  <c r="R36" i="27"/>
  <c r="R14" i="27"/>
  <c r="R25" i="27"/>
  <c r="R26" i="27"/>
  <c r="R37" i="27"/>
  <c r="Q32" i="27"/>
  <c r="Q35" i="27"/>
  <c r="Q36" i="27"/>
  <c r="Q14" i="27"/>
  <c r="Q25" i="27"/>
  <c r="Q26" i="27"/>
  <c r="Q37" i="27"/>
  <c r="P32" i="27"/>
  <c r="P35" i="27"/>
  <c r="P36" i="27"/>
  <c r="P14" i="27"/>
  <c r="P25" i="27"/>
  <c r="P26" i="27"/>
  <c r="P37" i="27"/>
  <c r="O32" i="27"/>
  <c r="O35" i="27"/>
  <c r="O36" i="27"/>
  <c r="O14" i="27"/>
  <c r="O25" i="27"/>
  <c r="O26" i="27"/>
  <c r="O37" i="27"/>
  <c r="L32" i="11"/>
  <c r="L35" i="11"/>
  <c r="L36" i="11"/>
  <c r="L14" i="11"/>
  <c r="L25" i="11"/>
  <c r="L26" i="11"/>
  <c r="L37" i="11"/>
  <c r="L40" i="11"/>
  <c r="H10" i="36"/>
  <c r="F10" i="36"/>
  <c r="E10" i="36"/>
  <c r="C10" i="36"/>
  <c r="B10" i="36"/>
  <c r="G17" i="14"/>
  <c r="G18" i="14"/>
  <c r="G19" i="14"/>
  <c r="G20" i="14"/>
  <c r="G21" i="14"/>
  <c r="G22" i="14"/>
  <c r="G23" i="14"/>
  <c r="G25" i="10"/>
  <c r="G24" i="14"/>
  <c r="G16" i="14"/>
  <c r="G10" i="14"/>
  <c r="G11" i="14"/>
  <c r="G12" i="14"/>
  <c r="G13" i="14"/>
  <c r="G9" i="14"/>
  <c r="F19" i="14"/>
  <c r="G34" i="26"/>
  <c r="F34" i="26"/>
  <c r="G30" i="26"/>
  <c r="G31" i="26"/>
  <c r="G29" i="26"/>
  <c r="F30" i="26"/>
  <c r="F31" i="26"/>
  <c r="F29" i="26"/>
  <c r="G34" i="22"/>
  <c r="F34" i="22"/>
  <c r="F29" i="22"/>
  <c r="G30" i="22"/>
  <c r="G31" i="22"/>
  <c r="G29" i="22"/>
  <c r="F30" i="22"/>
  <c r="F31" i="22"/>
  <c r="F16" i="22"/>
  <c r="G17" i="22"/>
  <c r="G18" i="22"/>
  <c r="G19" i="22"/>
  <c r="G20" i="22"/>
  <c r="G21" i="22"/>
  <c r="G22" i="22"/>
  <c r="G23" i="22"/>
  <c r="G24" i="22"/>
  <c r="G16" i="22"/>
  <c r="F17" i="22"/>
  <c r="F18" i="22"/>
  <c r="F19" i="22"/>
  <c r="F20" i="22"/>
  <c r="F21" i="22"/>
  <c r="F22" i="22"/>
  <c r="F23" i="22"/>
  <c r="F24" i="22"/>
  <c r="G10" i="22"/>
  <c r="G11" i="22"/>
  <c r="G12" i="22"/>
  <c r="G13" i="22"/>
  <c r="G9" i="22"/>
  <c r="F9" i="22"/>
  <c r="F10" i="22"/>
  <c r="F11" i="22"/>
  <c r="F12" i="22"/>
  <c r="F13" i="22"/>
  <c r="G10" i="26"/>
  <c r="G11" i="26"/>
  <c r="G12" i="26"/>
  <c r="G13" i="26"/>
  <c r="G9" i="26"/>
  <c r="G35" i="10"/>
  <c r="G34" i="14"/>
  <c r="F35" i="10"/>
  <c r="F34" i="14"/>
  <c r="G30" i="14"/>
  <c r="G32" i="10"/>
  <c r="G31" i="14"/>
  <c r="G29" i="14"/>
  <c r="F30" i="14"/>
  <c r="F32" i="10"/>
  <c r="F31" i="14"/>
  <c r="F29" i="14"/>
  <c r="F17" i="5"/>
  <c r="F17" i="14"/>
  <c r="F18" i="14"/>
  <c r="F20" i="14"/>
  <c r="F21" i="14"/>
  <c r="F22" i="14"/>
  <c r="F23" i="14"/>
  <c r="F25" i="10"/>
  <c r="F24" i="14"/>
  <c r="F16" i="7"/>
  <c r="F16" i="5"/>
  <c r="F16" i="14"/>
  <c r="F10" i="14"/>
  <c r="F11" i="14"/>
  <c r="F12" i="14"/>
  <c r="F13" i="14"/>
  <c r="F9" i="14"/>
  <c r="G29" i="13"/>
  <c r="G30" i="13"/>
  <c r="G31" i="13"/>
  <c r="G32" i="13"/>
  <c r="F29" i="13"/>
  <c r="F30" i="13"/>
  <c r="F31" i="13"/>
  <c r="F32" i="13"/>
  <c r="G34" i="13"/>
  <c r="F34" i="13"/>
  <c r="G17" i="13"/>
  <c r="G18" i="13"/>
  <c r="G19" i="13"/>
  <c r="G20" i="13"/>
  <c r="G21" i="13"/>
  <c r="G22" i="13"/>
  <c r="G23" i="13"/>
  <c r="G24" i="13"/>
  <c r="G16" i="13"/>
  <c r="F17" i="13"/>
  <c r="F18" i="13"/>
  <c r="F19" i="13"/>
  <c r="F20" i="13"/>
  <c r="F21" i="13"/>
  <c r="F22" i="13"/>
  <c r="F23" i="13"/>
  <c r="F24" i="13"/>
  <c r="F16" i="13"/>
  <c r="G13" i="13"/>
  <c r="G10" i="13"/>
  <c r="G11" i="13"/>
  <c r="G12" i="13"/>
  <c r="G9" i="13"/>
  <c r="F10" i="13"/>
  <c r="F11" i="13"/>
  <c r="F12" i="13"/>
  <c r="F13" i="13"/>
  <c r="F9" i="13"/>
  <c r="F10" i="26"/>
  <c r="F11" i="26"/>
  <c r="F12" i="26"/>
  <c r="F13" i="26"/>
  <c r="F9" i="26"/>
  <c r="I35" i="2"/>
  <c r="AJ34" i="27"/>
  <c r="AI34" i="27"/>
  <c r="AJ30" i="27"/>
  <c r="AJ31" i="27"/>
  <c r="AI30" i="27"/>
  <c r="AI31" i="27"/>
  <c r="AJ17" i="27"/>
  <c r="AJ18" i="27"/>
  <c r="AJ19" i="27"/>
  <c r="AJ20" i="27"/>
  <c r="AJ21" i="27"/>
  <c r="AJ22" i="27"/>
  <c r="AJ23" i="27"/>
  <c r="AJ24" i="27"/>
  <c r="AJ16" i="27"/>
  <c r="AI17" i="27"/>
  <c r="AI18" i="27"/>
  <c r="AI19" i="27"/>
  <c r="AI20" i="27"/>
  <c r="AI21" i="27"/>
  <c r="AI22" i="27"/>
  <c r="AI23" i="27"/>
  <c r="AI24" i="27"/>
  <c r="AI16" i="27"/>
  <c r="AJ10" i="27"/>
  <c r="AJ11" i="27"/>
  <c r="AJ12" i="27"/>
  <c r="AJ13" i="27"/>
  <c r="AI10" i="27"/>
  <c r="AI11" i="27"/>
  <c r="AI12" i="27"/>
  <c r="AI13" i="27"/>
  <c r="AK30" i="27"/>
  <c r="AK31" i="27"/>
  <c r="AK32" i="27"/>
  <c r="AK34" i="27"/>
  <c r="AK35" i="27"/>
  <c r="AK36" i="27"/>
  <c r="AK10" i="27"/>
  <c r="AK11" i="27"/>
  <c r="AK12" i="27"/>
  <c r="AK13" i="27"/>
  <c r="AK14" i="27"/>
  <c r="AK16" i="27"/>
  <c r="AK17" i="27"/>
  <c r="AK18" i="27"/>
  <c r="AK19" i="27"/>
  <c r="AK20" i="27"/>
  <c r="AK21" i="27"/>
  <c r="AK22" i="27"/>
  <c r="AK23" i="27"/>
  <c r="AH24" i="27"/>
  <c r="AK24" i="27"/>
  <c r="AK25" i="27"/>
  <c r="AK26" i="27"/>
  <c r="AK37" i="27"/>
  <c r="AJ32" i="27"/>
  <c r="AJ35" i="27"/>
  <c r="AJ36" i="27"/>
  <c r="AJ14" i="27"/>
  <c r="AJ25" i="27"/>
  <c r="AJ26" i="27"/>
  <c r="AJ37" i="27"/>
  <c r="AI32" i="27"/>
  <c r="AI35" i="27"/>
  <c r="AI36" i="27"/>
  <c r="AI14" i="27"/>
  <c r="AI25" i="27"/>
  <c r="AI26" i="27"/>
  <c r="AI37" i="27"/>
  <c r="G32" i="33"/>
  <c r="G35" i="33"/>
  <c r="G36" i="33"/>
  <c r="G14" i="33"/>
  <c r="G25" i="33"/>
  <c r="G26" i="33"/>
  <c r="G37" i="33"/>
  <c r="F32" i="33"/>
  <c r="F35" i="33"/>
  <c r="F36" i="33"/>
  <c r="F14" i="33"/>
  <c r="F25" i="33"/>
  <c r="F26" i="33"/>
  <c r="F37" i="33"/>
  <c r="I35" i="3"/>
  <c r="I35" i="4"/>
  <c r="I35" i="8"/>
  <c r="I35" i="7"/>
  <c r="I35" i="5"/>
  <c r="I35" i="6"/>
  <c r="I32" i="6"/>
  <c r="I32" i="5"/>
  <c r="I32" i="7"/>
  <c r="I32" i="8"/>
  <c r="I32" i="4"/>
  <c r="I32" i="3"/>
  <c r="I32" i="2"/>
  <c r="J32" i="2"/>
  <c r="I25" i="6"/>
  <c r="I25" i="5"/>
  <c r="I25" i="7"/>
  <c r="I25" i="8"/>
  <c r="I25" i="4"/>
  <c r="I25" i="3"/>
  <c r="I25" i="2"/>
  <c r="J25" i="2"/>
  <c r="K25" i="2"/>
  <c r="K14" i="2"/>
  <c r="K26" i="2"/>
  <c r="I36" i="2"/>
  <c r="I14" i="2"/>
  <c r="I26" i="2"/>
  <c r="I37" i="2"/>
  <c r="I36" i="3"/>
  <c r="I14" i="3"/>
  <c r="I26" i="3"/>
  <c r="I37" i="3"/>
  <c r="I36" i="4"/>
  <c r="I14" i="4"/>
  <c r="I26" i="4"/>
  <c r="I37" i="4"/>
  <c r="I36" i="8"/>
  <c r="I14" i="8"/>
  <c r="I26" i="8"/>
  <c r="I37" i="8"/>
  <c r="I36" i="7"/>
  <c r="I14" i="7"/>
  <c r="I26" i="7"/>
  <c r="I37" i="7"/>
  <c r="I36" i="5"/>
  <c r="I14" i="5"/>
  <c r="I26" i="5"/>
  <c r="I37" i="5"/>
  <c r="I36" i="6"/>
  <c r="I14" i="6"/>
  <c r="I26" i="6"/>
  <c r="I37" i="6"/>
  <c r="AC32" i="27"/>
  <c r="AD32" i="27"/>
  <c r="AC35" i="27"/>
  <c r="AD25" i="27"/>
  <c r="AD14" i="27"/>
  <c r="AC14" i="27"/>
  <c r="AD35" i="27"/>
  <c r="AD36" i="27"/>
  <c r="L25" i="2"/>
  <c r="L25" i="3"/>
  <c r="L25" i="4"/>
  <c r="L25" i="8"/>
  <c r="L25" i="7"/>
  <c r="L25" i="5"/>
  <c r="L25" i="6"/>
  <c r="K25" i="3"/>
  <c r="K25" i="4"/>
  <c r="K25" i="8"/>
  <c r="K25" i="7"/>
  <c r="K25" i="5"/>
  <c r="K25" i="6"/>
  <c r="J25" i="3"/>
  <c r="J25" i="4"/>
  <c r="J25" i="8"/>
  <c r="J25" i="7"/>
  <c r="J25" i="5"/>
  <c r="J25" i="6"/>
  <c r="F25" i="14"/>
  <c r="G25" i="14"/>
  <c r="F25" i="13"/>
  <c r="F14" i="13"/>
  <c r="F26" i="13"/>
  <c r="F32" i="12"/>
  <c r="F32" i="11"/>
  <c r="F32" i="9"/>
  <c r="F32" i="30"/>
  <c r="F35" i="13"/>
  <c r="F36" i="13"/>
  <c r="F37" i="13"/>
  <c r="G32" i="14"/>
  <c r="G32" i="12"/>
  <c r="G32" i="11"/>
  <c r="G32" i="9"/>
  <c r="G32" i="30"/>
  <c r="AC36" i="27"/>
  <c r="AC25" i="27"/>
  <c r="AD26" i="27"/>
  <c r="AD37" i="27"/>
  <c r="AC26" i="27"/>
  <c r="G35" i="30"/>
  <c r="G36" i="30"/>
  <c r="F35" i="30"/>
  <c r="F36" i="30"/>
  <c r="F14" i="30"/>
  <c r="F25" i="30"/>
  <c r="F26" i="30"/>
  <c r="G25" i="30"/>
  <c r="G14" i="30"/>
  <c r="G26" i="30"/>
  <c r="AC37" i="27"/>
  <c r="G37" i="30"/>
  <c r="F37" i="30"/>
  <c r="L35" i="8"/>
  <c r="L32" i="8"/>
  <c r="L36" i="8"/>
  <c r="L14" i="8"/>
  <c r="K35" i="8"/>
  <c r="K32" i="8"/>
  <c r="K14" i="8"/>
  <c r="J35" i="8"/>
  <c r="J32" i="8"/>
  <c r="J14" i="8"/>
  <c r="L35" i="7"/>
  <c r="L32" i="7"/>
  <c r="L36" i="7"/>
  <c r="L14" i="7"/>
  <c r="K35" i="7"/>
  <c r="K32" i="7"/>
  <c r="K14" i="7"/>
  <c r="J35" i="7"/>
  <c r="J32" i="7"/>
  <c r="J14" i="7"/>
  <c r="L35" i="6"/>
  <c r="L32" i="6"/>
  <c r="L36" i="6"/>
  <c r="L14" i="6"/>
  <c r="K35" i="6"/>
  <c r="K32" i="6"/>
  <c r="K36" i="6"/>
  <c r="K14" i="6"/>
  <c r="J35" i="6"/>
  <c r="J32" i="6"/>
  <c r="J36" i="6"/>
  <c r="J14" i="6"/>
  <c r="L35" i="5"/>
  <c r="L32" i="5"/>
  <c r="L14" i="5"/>
  <c r="K35" i="5"/>
  <c r="K32" i="5"/>
  <c r="K36" i="5"/>
  <c r="K14" i="5"/>
  <c r="J35" i="5"/>
  <c r="J32" i="5"/>
  <c r="J36" i="5"/>
  <c r="J14" i="5"/>
  <c r="L35" i="4"/>
  <c r="L32" i="4"/>
  <c r="L14" i="4"/>
  <c r="K35" i="4"/>
  <c r="K32" i="4"/>
  <c r="K14" i="4"/>
  <c r="J35" i="4"/>
  <c r="J32" i="4"/>
  <c r="J14" i="4"/>
  <c r="L35" i="3"/>
  <c r="L32" i="3"/>
  <c r="L14" i="3"/>
  <c r="K35" i="3"/>
  <c r="K32" i="3"/>
  <c r="K14" i="3"/>
  <c r="J35" i="3"/>
  <c r="J32" i="3"/>
  <c r="J14" i="3"/>
  <c r="L35" i="2"/>
  <c r="L32" i="2"/>
  <c r="L14" i="2"/>
  <c r="K35" i="2"/>
  <c r="J35" i="2"/>
  <c r="J14" i="2"/>
  <c r="L26" i="8"/>
  <c r="L37" i="8"/>
  <c r="L36" i="2"/>
  <c r="K36" i="3"/>
  <c r="L36" i="3"/>
  <c r="J36" i="4"/>
  <c r="K36" i="4"/>
  <c r="L26" i="5"/>
  <c r="K26" i="7"/>
  <c r="L26" i="4"/>
  <c r="L26" i="3"/>
  <c r="L26" i="2"/>
  <c r="L37" i="2"/>
  <c r="L36" i="4"/>
  <c r="J26" i="6"/>
  <c r="J37" i="6"/>
  <c r="L26" i="6"/>
  <c r="L37" i="6"/>
  <c r="L26" i="7"/>
  <c r="L37" i="7"/>
  <c r="K26" i="5"/>
  <c r="K37" i="5"/>
  <c r="J36" i="2"/>
  <c r="L36" i="5"/>
  <c r="J36" i="7"/>
  <c r="K36" i="7"/>
  <c r="J36" i="3"/>
  <c r="J36" i="8"/>
  <c r="K36" i="8"/>
  <c r="K26" i="8"/>
  <c r="K26" i="6"/>
  <c r="K37" i="6"/>
  <c r="K26" i="4"/>
  <c r="K37" i="4"/>
  <c r="K26" i="3"/>
  <c r="K37" i="3"/>
  <c r="J26" i="8"/>
  <c r="J26" i="7"/>
  <c r="J26" i="5"/>
  <c r="J37" i="5"/>
  <c r="J26" i="4"/>
  <c r="J37" i="4"/>
  <c r="J26" i="3"/>
  <c r="J26" i="2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L37" i="3"/>
  <c r="K37" i="8"/>
  <c r="J37" i="3"/>
  <c r="L37" i="5"/>
  <c r="J37" i="7"/>
  <c r="J37" i="8"/>
  <c r="K37" i="7"/>
  <c r="L37" i="4"/>
  <c r="J37" i="2"/>
  <c r="F20" i="27"/>
  <c r="F22" i="27"/>
  <c r="F18" i="27"/>
  <c r="F29" i="27"/>
  <c r="G9" i="27"/>
  <c r="G11" i="27"/>
  <c r="G18" i="27"/>
  <c r="G20" i="27"/>
  <c r="G22" i="27"/>
  <c r="G29" i="27"/>
  <c r="F11" i="27"/>
  <c r="F10" i="27"/>
  <c r="F12" i="27"/>
  <c r="F19" i="27"/>
  <c r="F21" i="27"/>
  <c r="F9" i="27"/>
  <c r="G10" i="27"/>
  <c r="G12" i="27"/>
  <c r="G17" i="27"/>
  <c r="G19" i="27"/>
  <c r="G21" i="27"/>
  <c r="G25" i="3"/>
  <c r="G25" i="4"/>
  <c r="G25" i="6"/>
  <c r="G25" i="8"/>
  <c r="G25" i="9"/>
  <c r="G25" i="11"/>
  <c r="G25" i="12"/>
  <c r="G25" i="15"/>
  <c r="G25" i="16"/>
  <c r="G25" i="17"/>
  <c r="G25" i="18"/>
  <c r="G25" i="19"/>
  <c r="G25" i="29"/>
  <c r="G25" i="20"/>
  <c r="G25" i="21"/>
  <c r="G25" i="23"/>
  <c r="G25" i="24"/>
  <c r="G25" i="25"/>
  <c r="G25" i="2"/>
  <c r="F25" i="3"/>
  <c r="F25" i="4"/>
  <c r="F25" i="6"/>
  <c r="F25" i="8"/>
  <c r="F25" i="9"/>
  <c r="F25" i="11"/>
  <c r="F25" i="12"/>
  <c r="F25" i="15"/>
  <c r="F25" i="16"/>
  <c r="F25" i="17"/>
  <c r="F25" i="18"/>
  <c r="F25" i="19"/>
  <c r="F25" i="29"/>
  <c r="F25" i="20"/>
  <c r="F25" i="21"/>
  <c r="F25" i="23"/>
  <c r="F25" i="24"/>
  <c r="F25" i="25"/>
  <c r="F25" i="2"/>
  <c r="F23" i="27"/>
  <c r="G23" i="27"/>
  <c r="G25" i="7"/>
  <c r="F25" i="7"/>
  <c r="G35" i="29"/>
  <c r="F35" i="29"/>
  <c r="G32" i="29"/>
  <c r="F32" i="29"/>
  <c r="G14" i="29"/>
  <c r="G26" i="29"/>
  <c r="F14" i="29"/>
  <c r="G35" i="3"/>
  <c r="F35" i="3"/>
  <c r="G35" i="4"/>
  <c r="F35" i="4"/>
  <c r="G35" i="5"/>
  <c r="F35" i="5"/>
  <c r="G35" i="6"/>
  <c r="F35" i="6"/>
  <c r="G35" i="7"/>
  <c r="F35" i="7"/>
  <c r="G35" i="8"/>
  <c r="F35" i="8"/>
  <c r="G35" i="9"/>
  <c r="F35" i="9"/>
  <c r="G35" i="11"/>
  <c r="F35" i="11"/>
  <c r="G35" i="12"/>
  <c r="F35" i="12"/>
  <c r="G35" i="15"/>
  <c r="F35" i="15"/>
  <c r="G35" i="16"/>
  <c r="F35" i="16"/>
  <c r="G35" i="17"/>
  <c r="F35" i="17"/>
  <c r="G35" i="18"/>
  <c r="F35" i="18"/>
  <c r="G35" i="19"/>
  <c r="F35" i="19"/>
  <c r="G35" i="20"/>
  <c r="F35" i="20"/>
  <c r="G35" i="21"/>
  <c r="F35" i="21"/>
  <c r="G35" i="23"/>
  <c r="F35" i="23"/>
  <c r="G35" i="24"/>
  <c r="F35" i="24"/>
  <c r="G35" i="25"/>
  <c r="F35" i="25"/>
  <c r="G35" i="2"/>
  <c r="F35" i="2"/>
  <c r="G32" i="3"/>
  <c r="F32" i="3"/>
  <c r="G32" i="4"/>
  <c r="F32" i="4"/>
  <c r="G32" i="5"/>
  <c r="F32" i="5"/>
  <c r="G32" i="6"/>
  <c r="F32" i="6"/>
  <c r="G32" i="7"/>
  <c r="F32" i="7"/>
  <c r="G32" i="8"/>
  <c r="F32" i="8"/>
  <c r="G32" i="15"/>
  <c r="F32" i="15"/>
  <c r="G32" i="16"/>
  <c r="F32" i="16"/>
  <c r="G32" i="17"/>
  <c r="G36" i="17"/>
  <c r="F32" i="17"/>
  <c r="G32" i="18"/>
  <c r="F32" i="18"/>
  <c r="G32" i="19"/>
  <c r="F32" i="19"/>
  <c r="G32" i="20"/>
  <c r="F32" i="20"/>
  <c r="G32" i="21"/>
  <c r="F32" i="21"/>
  <c r="G32" i="23"/>
  <c r="F32" i="23"/>
  <c r="G32" i="24"/>
  <c r="F32" i="24"/>
  <c r="G32" i="25"/>
  <c r="F32" i="25"/>
  <c r="G32" i="2"/>
  <c r="G30" i="27"/>
  <c r="F32" i="2"/>
  <c r="F30" i="27"/>
  <c r="G14" i="3"/>
  <c r="G14" i="4"/>
  <c r="G14" i="5"/>
  <c r="G14" i="6"/>
  <c r="G14" i="7"/>
  <c r="G14" i="8"/>
  <c r="G26" i="8"/>
  <c r="G14" i="9"/>
  <c r="G26" i="9"/>
  <c r="G14" i="10"/>
  <c r="G26" i="10"/>
  <c r="G14" i="11"/>
  <c r="G26" i="11"/>
  <c r="G14" i="12"/>
  <c r="G14" i="15"/>
  <c r="G26" i="15"/>
  <c r="G14" i="16"/>
  <c r="G26" i="16"/>
  <c r="G14" i="17"/>
  <c r="G26" i="17"/>
  <c r="G14" i="18"/>
  <c r="G26" i="18"/>
  <c r="G14" i="19"/>
  <c r="G26" i="19"/>
  <c r="G14" i="20"/>
  <c r="G26" i="20"/>
  <c r="G14" i="21"/>
  <c r="G14" i="23"/>
  <c r="G14" i="24"/>
  <c r="G26" i="24"/>
  <c r="G14" i="25"/>
  <c r="G14" i="2"/>
  <c r="F14" i="3"/>
  <c r="F14" i="4"/>
  <c r="F14" i="5"/>
  <c r="F14" i="6"/>
  <c r="F14" i="7"/>
  <c r="F14" i="8"/>
  <c r="F14" i="9"/>
  <c r="F14" i="10"/>
  <c r="F26" i="10"/>
  <c r="F14" i="11"/>
  <c r="F14" i="12"/>
  <c r="F14" i="15"/>
  <c r="F14" i="16"/>
  <c r="F26" i="16"/>
  <c r="F14" i="17"/>
  <c r="F14" i="18"/>
  <c r="F26" i="18"/>
  <c r="F14" i="19"/>
  <c r="F14" i="20"/>
  <c r="F26" i="20"/>
  <c r="F14" i="21"/>
  <c r="F14" i="23"/>
  <c r="F26" i="23"/>
  <c r="F14" i="24"/>
  <c r="F14" i="25"/>
  <c r="F14" i="2"/>
  <c r="F35" i="26"/>
  <c r="G36" i="29"/>
  <c r="G37" i="29"/>
  <c r="G16" i="27"/>
  <c r="F36" i="4"/>
  <c r="F16" i="27"/>
  <c r="G36" i="4"/>
  <c r="F17" i="27"/>
  <c r="G25" i="5"/>
  <c r="G35" i="13"/>
  <c r="G36" i="12"/>
  <c r="F26" i="12"/>
  <c r="F14" i="14"/>
  <c r="G14" i="13"/>
  <c r="F32" i="14"/>
  <c r="G35" i="22"/>
  <c r="F35" i="22"/>
  <c r="F32" i="22"/>
  <c r="F14" i="22"/>
  <c r="G26" i="21"/>
  <c r="G14" i="22"/>
  <c r="F26" i="25"/>
  <c r="G36" i="25"/>
  <c r="G26" i="25"/>
  <c r="G36" i="21"/>
  <c r="G36" i="19"/>
  <c r="G37" i="19"/>
  <c r="F32" i="26"/>
  <c r="F36" i="26"/>
  <c r="G32" i="22"/>
  <c r="G36" i="22"/>
  <c r="F36" i="15"/>
  <c r="G36" i="10"/>
  <c r="G37" i="10"/>
  <c r="F36" i="6"/>
  <c r="G37" i="17"/>
  <c r="F36" i="2"/>
  <c r="F35" i="14"/>
  <c r="F36" i="21"/>
  <c r="F36" i="17"/>
  <c r="F36" i="11"/>
  <c r="F36" i="7"/>
  <c r="F36" i="3"/>
  <c r="G25" i="13"/>
  <c r="F36" i="24"/>
  <c r="F36" i="19"/>
  <c r="F36" i="9"/>
  <c r="F36" i="5"/>
  <c r="F25" i="5"/>
  <c r="F25" i="22"/>
  <c r="G25" i="22"/>
  <c r="F25" i="26"/>
  <c r="G25" i="26"/>
  <c r="F36" i="23"/>
  <c r="F37" i="23"/>
  <c r="F36" i="10"/>
  <c r="F37" i="10"/>
  <c r="F36" i="8"/>
  <c r="F26" i="2"/>
  <c r="F26" i="24"/>
  <c r="F37" i="24"/>
  <c r="F26" i="21"/>
  <c r="F26" i="19"/>
  <c r="F26" i="17"/>
  <c r="F26" i="15"/>
  <c r="F26" i="11"/>
  <c r="F26" i="9"/>
  <c r="G26" i="4"/>
  <c r="F36" i="25"/>
  <c r="F36" i="20"/>
  <c r="F37" i="20"/>
  <c r="F36" i="18"/>
  <c r="F37" i="18"/>
  <c r="F36" i="16"/>
  <c r="F37" i="16"/>
  <c r="F36" i="12"/>
  <c r="F26" i="29"/>
  <c r="F36" i="29"/>
  <c r="G26" i="2"/>
  <c r="G26" i="3"/>
  <c r="G36" i="2"/>
  <c r="G35" i="14"/>
  <c r="G36" i="24"/>
  <c r="G37" i="24"/>
  <c r="G36" i="18"/>
  <c r="G37" i="18"/>
  <c r="G36" i="16"/>
  <c r="G37" i="16"/>
  <c r="G36" i="9"/>
  <c r="G37" i="9"/>
  <c r="G36" i="7"/>
  <c r="G36" i="3"/>
  <c r="F26" i="6"/>
  <c r="G26" i="7"/>
  <c r="G14" i="14"/>
  <c r="G36" i="6"/>
  <c r="G36" i="5"/>
  <c r="G26" i="6"/>
  <c r="F26" i="8"/>
  <c r="F37" i="8"/>
  <c r="F26" i="3"/>
  <c r="F26" i="7"/>
  <c r="F37" i="7"/>
  <c r="F14" i="26"/>
  <c r="G35" i="26"/>
  <c r="F26" i="4"/>
  <c r="F37" i="4"/>
  <c r="G36" i="23"/>
  <c r="G36" i="15"/>
  <c r="G37" i="15"/>
  <c r="G36" i="8"/>
  <c r="G37" i="8"/>
  <c r="G26" i="23"/>
  <c r="G26" i="12"/>
  <c r="G36" i="20"/>
  <c r="G37" i="20"/>
  <c r="G36" i="11"/>
  <c r="G37" i="11"/>
  <c r="G37" i="25"/>
  <c r="G37" i="7"/>
  <c r="F37" i="9"/>
  <c r="F37" i="12"/>
  <c r="F37" i="25"/>
  <c r="G37" i="21"/>
  <c r="F37" i="3"/>
  <c r="G37" i="4"/>
  <c r="F37" i="6"/>
  <c r="G36" i="13"/>
  <c r="F36" i="22"/>
  <c r="F37" i="2"/>
  <c r="F36" i="14"/>
  <c r="G24" i="27"/>
  <c r="G25" i="27"/>
  <c r="F24" i="27"/>
  <c r="F25" i="27"/>
  <c r="G26" i="5"/>
  <c r="G37" i="5"/>
  <c r="G34" i="27"/>
  <c r="G35" i="27"/>
  <c r="F26" i="5"/>
  <c r="F37" i="5"/>
  <c r="G36" i="14"/>
  <c r="F34" i="27"/>
  <c r="F35" i="27"/>
  <c r="G13" i="27"/>
  <c r="G14" i="27"/>
  <c r="F26" i="14"/>
  <c r="G37" i="12"/>
  <c r="G26" i="14"/>
  <c r="G26" i="13"/>
  <c r="G37" i="13"/>
  <c r="G31" i="27"/>
  <c r="G32" i="27"/>
  <c r="F31" i="27"/>
  <c r="F32" i="27"/>
  <c r="F37" i="17"/>
  <c r="F13" i="27"/>
  <c r="F14" i="27"/>
  <c r="F37" i="19"/>
  <c r="G32" i="26"/>
  <c r="G36" i="26"/>
  <c r="G14" i="26"/>
  <c r="G26" i="26"/>
  <c r="F26" i="26"/>
  <c r="F37" i="26"/>
  <c r="F37" i="21"/>
  <c r="F26" i="22"/>
  <c r="F37" i="15"/>
  <c r="F37" i="11"/>
  <c r="G26" i="22"/>
  <c r="G37" i="22"/>
  <c r="F37" i="29"/>
  <c r="G37" i="23"/>
  <c r="G37" i="3"/>
  <c r="G37" i="2"/>
  <c r="G37" i="6"/>
  <c r="F37" i="22"/>
  <c r="F37" i="14"/>
  <c r="G37" i="14"/>
  <c r="G37" i="26"/>
  <c r="G36" i="27"/>
  <c r="F36" i="27"/>
  <c r="G26" i="27"/>
  <c r="F26" i="27"/>
  <c r="G37" i="27"/>
  <c r="F37" i="27"/>
  <c r="K32" i="14"/>
  <c r="K36" i="14"/>
  <c r="K37" i="14"/>
  <c r="K40" i="14"/>
  <c r="L4" i="14"/>
  <c r="L40" i="14"/>
  <c r="K29" i="27"/>
  <c r="K32" i="27"/>
  <c r="K36" i="27"/>
  <c r="K37" i="27"/>
  <c r="K40" i="27"/>
  <c r="L4" i="27"/>
  <c r="L40" i="27"/>
  <c r="K32" i="2"/>
  <c r="K36" i="2"/>
  <c r="K37" i="2"/>
</calcChain>
</file>

<file path=xl/sharedStrings.xml><?xml version="1.0" encoding="utf-8"?>
<sst xmlns="http://schemas.openxmlformats.org/spreadsheetml/2006/main" count="1513" uniqueCount="196">
  <si>
    <t>Ordinary Income/Expense</t>
  </si>
  <si>
    <t>Income/Ingresos</t>
  </si>
  <si>
    <t>Expense/Gastos</t>
  </si>
  <si>
    <t>Net Income/ Ingresos Netos</t>
  </si>
  <si>
    <t>Net Ordinary Income / Ingresos Ordinarios Netos</t>
  </si>
  <si>
    <t>Total - Perm Restricted / con restricciones permanentes</t>
  </si>
  <si>
    <t>Total Income / Ingresos Totales</t>
  </si>
  <si>
    <t>Total Expense / Total de Gastos</t>
  </si>
  <si>
    <t>Other Income / Otros Ingresos</t>
  </si>
  <si>
    <t>Other Income/Expense / Otros Ingresos/Gastos</t>
  </si>
  <si>
    <t>Total Other Income / Total de Otros Ingresos</t>
  </si>
  <si>
    <t>Other Expense / Otros Gastos</t>
  </si>
  <si>
    <t>Total Other Expense / Total de Otros Gastos</t>
  </si>
  <si>
    <t>Net Other Income / Otros Ingresos Netos</t>
  </si>
  <si>
    <t>Transfer to Reserves / Transferencia a la Reservas</t>
  </si>
  <si>
    <t>FWCC / CMCA</t>
  </si>
  <si>
    <t>Release of Moir Funds / Descargo del Fondo Moir</t>
  </si>
  <si>
    <t>Budget
FY18</t>
  </si>
  <si>
    <t>Budget
FY19</t>
  </si>
  <si>
    <t>Budget 2016</t>
  </si>
  <si>
    <t>Budget 2017</t>
  </si>
  <si>
    <t>Total Unrestricted</t>
  </si>
  <si>
    <t>Total Temp Restricted</t>
  </si>
  <si>
    <t>Total Perm Restricted</t>
  </si>
  <si>
    <t>Total Board Designated
(Unrestricted)</t>
  </si>
  <si>
    <t>Totals</t>
  </si>
  <si>
    <t>Actual
FY16</t>
  </si>
  <si>
    <t>GRAND TOTAL</t>
  </si>
  <si>
    <t>Total — Temp Restricted / con restricciones temporales</t>
  </si>
  <si>
    <t>320 E. Bogert Fund / Fondo Bogert</t>
  </si>
  <si>
    <t>330 Quaker Youth Pilgrimage / Peregrinaje de Juventud</t>
  </si>
  <si>
    <t>340 Travel in Ministry / Viajes en el Ministerio</t>
  </si>
  <si>
    <t>250 Committee Travel  / viaje del comité</t>
  </si>
  <si>
    <t>240 Susan Bax Fund / Fondo Bax</t>
  </si>
  <si>
    <t>230 Stewardship Fund / Fondo Mayordomia</t>
  </si>
  <si>
    <t>220 Founders Fund / Fondo de Fundadores</t>
  </si>
  <si>
    <t>210 A &amp; P Elkinton</t>
  </si>
  <si>
    <t>170 Social Enterprise / Empresas Sociales</t>
  </si>
  <si>
    <t>160 Connections / Conexiones</t>
  </si>
  <si>
    <t>150 Visitation / Visitacion</t>
  </si>
  <si>
    <t xml:space="preserve">140 Section Meeting / Reunion de la Seccion </t>
  </si>
  <si>
    <t>130 World Office / Oficina Mundial</t>
  </si>
  <si>
    <t>120 Development / Recaudation de Fondos</t>
  </si>
  <si>
    <t xml:space="preserve">110 Administration / Administracion </t>
  </si>
  <si>
    <t>360 World Travel / viajes mundiales</t>
  </si>
  <si>
    <t>260 Moir Fund / fondo Moir</t>
  </si>
  <si>
    <t>310 Committee Travel Fund / Fondo de Viajes de Comites</t>
  </si>
  <si>
    <t>380 Campaign / Prioridades de la Campana</t>
  </si>
  <si>
    <t>390 Travel Support / Apoyo a Viajes</t>
  </si>
  <si>
    <t>430 Cadwallader</t>
  </si>
  <si>
    <t>420 Elkinton</t>
  </si>
  <si>
    <t>410 Applegate</t>
  </si>
  <si>
    <t>Beginning Operating Fund Balance, April 30, 2015</t>
  </si>
  <si>
    <t>Total — Unrestricted / sin restricciones</t>
  </si>
  <si>
    <t>(includes $135K Beneficial Interest in Charitable Remainder Trust + 148K Cash Value of Life Insurance Policies)</t>
  </si>
  <si>
    <t>350 Tyson Grant</t>
  </si>
  <si>
    <t>5110 – Participant Fees /Inscripciones</t>
  </si>
  <si>
    <t>5100 – Contributions / Contribuciones</t>
  </si>
  <si>
    <t>5115 – Grants /Subvenciones de Otras Organizaciones</t>
  </si>
  <si>
    <t>5120 – Other Income / Ingresos Miscelaneos</t>
  </si>
  <si>
    <t>5125 – Investment Income / Ganancias de Inversiones</t>
  </si>
  <si>
    <t>6000 – Personnel Costs / Personal</t>
  </si>
  <si>
    <t>6110 – Professional Fees / Cargos Profesionales</t>
  </si>
  <si>
    <t xml:space="preserve">6123 – Committee Costs / Gastos de Comites </t>
  </si>
  <si>
    <t>6125 – Program Costs / Costos de Programas</t>
  </si>
  <si>
    <t>6130 – General Office / Oficina General</t>
  </si>
  <si>
    <t>6135 – Grants to Projects / Subvenciones a Proyectos</t>
  </si>
  <si>
    <t>6140 – World Office/Compartimiento con la Oficina Mundial</t>
  </si>
  <si>
    <t>6145 – Miscellaneous Expenses / Costos Miscelaneos</t>
  </si>
  <si>
    <t>5935 –  Release from Reserve Funds / Descargo del fondo de Reservas</t>
  </si>
  <si>
    <t>4099 – Unrealized Gain/Loss-Investment / Ganancias No Realizadas Inversiones</t>
  </si>
  <si>
    <t>8170 – Depreciation Expense /Gastos de depreciación</t>
  </si>
  <si>
    <t>Total —  Board Designated / designado por comité ejecutiva</t>
  </si>
  <si>
    <t>FY18 World Quaker Day</t>
  </si>
  <si>
    <t>FY16</t>
  </si>
  <si>
    <t>FY17</t>
  </si>
  <si>
    <t>Beginning Balance, April 30, 20XX</t>
  </si>
  <si>
    <t>FY18 Travel for Face to Face meeting</t>
  </si>
  <si>
    <t>Past years: lawyer's fee for 370 Pooled Life Insurance Fund</t>
  </si>
  <si>
    <t>Exact expense is 25% of the unrestricted income to the General Fund from the previous calendar year</t>
  </si>
  <si>
    <t>Admin for fee for pass through</t>
  </si>
  <si>
    <t>Move class 370 lawyer's fee from 6145 misc expenses</t>
  </si>
  <si>
    <t>Rep Engagement group meeting (reclassify from 6125 program costs)</t>
  </si>
  <si>
    <t>FY18 Stewardship Promotional Materials $2k | FY18-19 includes 20% of 18k rent + $12k general</t>
  </si>
  <si>
    <t>FY18 Three Stewardship Mtgs Travel = $3.6k + $2k general</t>
  </si>
  <si>
    <t>Payroll service distributed among classes</t>
  </si>
  <si>
    <t>Includes Robin's attendance at Admin Committee Meetings</t>
  </si>
  <si>
    <t xml:space="preserve">5k transferred from 210 A&amp;P Elkinton to seed the fund </t>
  </si>
  <si>
    <t>Robin is hopes to get 10k in grants for both FYs</t>
  </si>
  <si>
    <t>From "Loan Growth" somewhere on the Balance Sheet</t>
  </si>
  <si>
    <t xml:space="preserve">6000 Personnel </t>
  </si>
  <si>
    <t>FY18</t>
  </si>
  <si>
    <t>FY 19</t>
  </si>
  <si>
    <t>FY19</t>
  </si>
  <si>
    <t>110 Admin</t>
  </si>
  <si>
    <t>120 Development</t>
  </si>
  <si>
    <t>130 World Office</t>
  </si>
  <si>
    <t>140 Section Meeting</t>
  </si>
  <si>
    <t>150 Visitation</t>
  </si>
  <si>
    <t>160 Connections</t>
  </si>
  <si>
    <t>Distributions of Expenses across Classes</t>
  </si>
  <si>
    <t>Classes</t>
  </si>
  <si>
    <r>
      <t xml:space="preserve">6110 Prof. Fees </t>
    </r>
    <r>
      <rPr>
        <sz val="12"/>
        <color theme="1"/>
        <rFont val="Arial"/>
        <family val="2"/>
      </rPr>
      <t>(COAL)</t>
    </r>
  </si>
  <si>
    <t>Photocopier lease, postage, etc. are also distributed here</t>
  </si>
  <si>
    <t>to 150 visitation</t>
  </si>
  <si>
    <t>Booked in 110 Admin</t>
  </si>
  <si>
    <t>From 420 Elkinton Restricted</t>
  </si>
  <si>
    <t>Booked in 390 Travel Support</t>
  </si>
  <si>
    <t>From 410 Applegate</t>
  </si>
  <si>
    <t>Booked in 150 Visitation</t>
  </si>
  <si>
    <t>370 Pooled Life Insurance Fund (PLIF)</t>
  </si>
  <si>
    <t>Ending Balance, April 30</t>
  </si>
  <si>
    <t>Beginning Balance, May 1, 20XX</t>
  </si>
  <si>
    <t>FY18 = 60% of $20k total for COAL Coordinator | FY19 = 20% of $21k for COAL (add 1k)</t>
  </si>
  <si>
    <t>FY18 includes $10k audit + 10% 20k COAL Coord. | FY19 includes 10% 21k COAL Coord. (add 1k)</t>
  </si>
  <si>
    <t>FY18 = 4% of $20k total for COAL Coord. | FY19 = 45% of $21k for COAL  (add 1k)</t>
  </si>
  <si>
    <t>Compensation Package</t>
  </si>
  <si>
    <t>Transfer to 150 Visitation for travel to Latin America</t>
  </si>
  <si>
    <t>FY18 = 33% projected FY17 ending balance | FY19 = 33% of projected FY17 ending balance</t>
  </si>
  <si>
    <t>Will be spent down in 150 Visitation in FY17</t>
  </si>
  <si>
    <t>Travel Costs</t>
  </si>
  <si>
    <t>FY19 Section Meeting</t>
  </si>
  <si>
    <t>FY18 draw</t>
  </si>
  <si>
    <t>FY19 draw</t>
  </si>
  <si>
    <t>Plus 10k/year released from 220 Founders Fund to pay down the accrued debt to the World Office</t>
  </si>
  <si>
    <t>10k paydown does not show in the budget, since the accrued debt was expensed years ago</t>
  </si>
  <si>
    <t>FY17 = 5k transferred to 270 Green Fund as seed money</t>
  </si>
  <si>
    <t>from 210, 220, 230, 270 &amp; admin 320</t>
  </si>
  <si>
    <t>270 Green Fund / fondo verde</t>
  </si>
  <si>
    <t>FY18 &amp; 19 to Admin and other Committee Travel</t>
  </si>
  <si>
    <t>15k Traveling Minisitry Corps both Fys</t>
  </si>
  <si>
    <r>
      <rPr>
        <b/>
        <sz val="12"/>
        <color theme="1"/>
        <rFont val="Arial"/>
      </rPr>
      <t>6130 General Office</t>
    </r>
    <r>
      <rPr>
        <sz val="12"/>
        <color theme="1"/>
        <rFont val="Arial"/>
        <family val="2"/>
      </rPr>
      <t xml:space="preserve"> </t>
    </r>
  </si>
  <si>
    <t>includes rent, phone lines, internet connections</t>
  </si>
  <si>
    <t>for computers</t>
  </si>
  <si>
    <t>office supplies</t>
  </si>
  <si>
    <t xml:space="preserve">copier, postage, </t>
  </si>
  <si>
    <t>FY18 =$2k general + 26% of $20k COAL Coordinator |  | FY19 = 25% of 21k (add 1k) for COAL + 2k general</t>
  </si>
  <si>
    <t>#</t>
  </si>
  <si>
    <t>Releases</t>
  </si>
  <si>
    <t xml:space="preserve">FY19 </t>
  </si>
  <si>
    <t>Notes</t>
  </si>
  <si>
    <t>Admin</t>
  </si>
  <si>
    <t>all from 210, 220, 230, 270, 320 +8K from 310</t>
  </si>
  <si>
    <t>Dev</t>
  </si>
  <si>
    <t>Travel</t>
  </si>
  <si>
    <t>WO</t>
  </si>
  <si>
    <t>Section Meeting</t>
  </si>
  <si>
    <t>Visitation</t>
  </si>
  <si>
    <t>Connections</t>
  </si>
  <si>
    <t>A&amp;P Elkinton</t>
  </si>
  <si>
    <t>to admin</t>
  </si>
  <si>
    <t>Founders</t>
  </si>
  <si>
    <t>Stewardship</t>
  </si>
  <si>
    <t>Bax</t>
  </si>
  <si>
    <t>Cttee Travel BD</t>
  </si>
  <si>
    <t>Green</t>
  </si>
  <si>
    <t>Comm Travel</t>
  </si>
  <si>
    <t>(over income of $6213, $6300)</t>
  </si>
  <si>
    <t>Bogert</t>
  </si>
  <si>
    <t>QYP</t>
  </si>
  <si>
    <t>Trav in Min</t>
  </si>
  <si>
    <t>($1,000 expense from reserves)</t>
  </si>
  <si>
    <t>Tyson</t>
  </si>
  <si>
    <t>spent down in 2017</t>
  </si>
  <si>
    <t>PLIF</t>
  </si>
  <si>
    <t>negligible</t>
  </si>
  <si>
    <t>Campaign (for Latin America)</t>
  </si>
  <si>
    <t>(final usage, to Visitation)</t>
  </si>
  <si>
    <t>income spent on grants</t>
  </si>
  <si>
    <t>to visitation</t>
  </si>
  <si>
    <t>From 390 &amp; 330 &amp; 380</t>
  </si>
  <si>
    <t>FY18 Traveling Ministries &amp; other travel, from ; FY19 = Traveling Ministries &amp; other travel + 390 Latin America</t>
  </si>
  <si>
    <t>to Visit &amp; Section Meeting</t>
  </si>
  <si>
    <t>(current income of $22,013, $22,000 )</t>
  </si>
  <si>
    <t>to committee travel</t>
  </si>
  <si>
    <t>from committee travel</t>
  </si>
  <si>
    <t>+ 8k from 310 +1500 staff travel</t>
  </si>
  <si>
    <t>FY18 = $3.6k Travel for Stewardship Meetings from 390 Travel Support + Committee Costs for Travel +staff travel</t>
  </si>
  <si>
    <t>Travel for Rep Engagement group meeting cttee &amp; staff</t>
  </si>
  <si>
    <t>Committee Travel + staff travel</t>
  </si>
  <si>
    <t>comm &amp; staffTravel</t>
  </si>
  <si>
    <t>from BdCT 250 comm. + staff travel</t>
  </si>
  <si>
    <t>15000 from 390, 8218 from 380, 25000 from 330, 500 from 250, 1000 from 390 for staff</t>
  </si>
  <si>
    <t xml:space="preserve"> FY18 &amp; 19  = includes $3.6k for Stewardship Meeting travel + 7k Staff Travel + 155k Traveling Ministries (150) </t>
  </si>
  <si>
    <t>to staff travel</t>
  </si>
  <si>
    <t>TOTAL</t>
  </si>
  <si>
    <t>Revisded Package</t>
  </si>
  <si>
    <t>Actual FY17 thru 1/31/2017</t>
  </si>
  <si>
    <r>
      <rPr>
        <b/>
        <sz val="20"/>
        <color theme="1"/>
        <rFont val="Calibri (Body)"/>
      </rPr>
      <t>Fiscal Year 2017</t>
    </r>
    <r>
      <rPr>
        <sz val="18"/>
        <color theme="1"/>
        <rFont val="Calibri (Body)"/>
      </rPr>
      <t xml:space="preserve"> </t>
    </r>
    <r>
      <rPr>
        <b/>
        <sz val="18"/>
        <color theme="1"/>
        <rFont val="Calibri (Body)"/>
      </rPr>
      <t>Year-to-Date</t>
    </r>
    <r>
      <rPr>
        <sz val="18"/>
        <color theme="1"/>
        <rFont val="Calibri (Body)"/>
      </rPr>
      <t xml:space="preserve"> </t>
    </r>
    <r>
      <rPr>
        <sz val="16"/>
        <color theme="1"/>
        <rFont val="Calibri (Body)"/>
      </rPr>
      <t>(1 May 2016–31 Jan/enero 2017)</t>
    </r>
  </si>
  <si>
    <r>
      <rPr>
        <b/>
        <sz val="20"/>
        <color theme="1"/>
        <rFont val="Calibri (Body)"/>
      </rPr>
      <t>Fiscal Year 2016</t>
    </r>
    <r>
      <rPr>
        <sz val="18"/>
        <color theme="1"/>
        <rFont val="Calibri (Body)"/>
      </rPr>
      <t xml:space="preserve"> </t>
    </r>
    <r>
      <rPr>
        <b/>
        <sz val="18"/>
        <color theme="1"/>
        <rFont val="Calibri (Body)"/>
      </rPr>
      <t>Actuals</t>
    </r>
    <r>
      <rPr>
        <sz val="18"/>
        <color theme="1"/>
        <rFont val="Calibri (Body)"/>
      </rPr>
      <t xml:space="preserve"> </t>
    </r>
    <r>
      <rPr>
        <sz val="16"/>
        <color theme="1"/>
        <rFont val="Calibri (Body)"/>
      </rPr>
      <t>(1 May/mayo 2015 – 30 Apr/avr 2016)</t>
    </r>
  </si>
  <si>
    <r>
      <t xml:space="preserve">Fiscal Year 2018 </t>
    </r>
    <r>
      <rPr>
        <sz val="16"/>
        <color theme="1"/>
        <rFont val="Calibri (Body)"/>
      </rPr>
      <t>(1 May/mayo 2017 – 30 Apr/avr 2018)</t>
    </r>
  </si>
  <si>
    <r>
      <rPr>
        <b/>
        <sz val="20"/>
        <color theme="1"/>
        <rFont val="Calibri (Body)"/>
      </rPr>
      <t>Fiscal Year 2019</t>
    </r>
    <r>
      <rPr>
        <sz val="18"/>
        <color theme="1"/>
        <rFont val="Calibri (Body)"/>
      </rPr>
      <t xml:space="preserve"> </t>
    </r>
    <r>
      <rPr>
        <sz val="16"/>
        <color theme="1"/>
        <rFont val="Calibri (Body)"/>
      </rPr>
      <t>(1 May/mayo 2018 – 30 Apr/avr 2019)</t>
    </r>
  </si>
  <si>
    <r>
      <t>FY17 Operating Fund Beginning Balance adjusted for pass through to World Office by</t>
    </r>
    <r>
      <rPr>
        <i/>
        <sz val="11"/>
        <color rgb="FFFF0000"/>
        <rFont val="Calibri (Body)"/>
      </rPr>
      <t xml:space="preserve"> </t>
    </r>
    <r>
      <rPr>
        <b/>
        <i/>
        <sz val="11"/>
        <color rgb="FFFF0000"/>
        <rFont val="Calibri (Body)"/>
      </rPr>
      <t>($2,147)</t>
    </r>
  </si>
  <si>
    <r>
      <t xml:space="preserve">FY17 Operating Fund Beginning Balance adjusted for pass through to World Office by </t>
    </r>
    <r>
      <rPr>
        <i/>
        <sz val="11"/>
        <color rgb="FFFF0000"/>
        <rFont val="Calibri (Body)"/>
      </rPr>
      <t>($2,147)</t>
    </r>
  </si>
  <si>
    <t>Beginning FY18 we take 10k per year to pay down  debt to World Office — shows only on Balance Sheet</t>
  </si>
  <si>
    <t>FY 17 last year to pay down world office debt from this fund — FY18 on from Founders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</si>
</sst>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,##0_ ;[Red]\-#,##0\ "/>
    <numFmt numFmtId="166" formatCode="#,##0;\-#,##0"/>
    <numFmt numFmtId="167" formatCode="0_);[Red]\(0\)"/>
    <numFmt numFmtId="168" formatCode="&quot;$&quot;#,##0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 Bold"/>
    </font>
    <font>
      <b/>
      <sz val="20"/>
      <color theme="1"/>
      <name val="Calibri"/>
      <family val="2"/>
      <scheme val="minor"/>
    </font>
    <font>
      <sz val="16"/>
      <color theme="1"/>
      <name val="Calibri (Body)"/>
    </font>
    <font>
      <sz val="18"/>
      <color theme="1"/>
      <name val="Calibri (Body)"/>
    </font>
    <font>
      <b/>
      <sz val="20"/>
      <color theme="1"/>
      <name val="Calibri (Body)"/>
    </font>
    <font>
      <b/>
      <sz val="24"/>
      <color theme="1"/>
      <name val="Calibri (Body)"/>
    </font>
    <font>
      <b/>
      <i/>
      <sz val="11"/>
      <color theme="1"/>
      <name val="Calibri"/>
      <scheme val="minor"/>
    </font>
    <font>
      <i/>
      <sz val="9"/>
      <color rgb="FF000000"/>
      <name val="Arial"/>
    </font>
    <font>
      <i/>
      <sz val="10"/>
      <color theme="1"/>
      <name val="Arial"/>
    </font>
    <font>
      <i/>
      <sz val="10"/>
      <color rgb="FF000000"/>
      <name val="Arial"/>
    </font>
    <font>
      <i/>
      <sz val="11"/>
      <color rgb="FF000000"/>
      <name val="Arial"/>
    </font>
    <font>
      <b/>
      <i/>
      <sz val="10"/>
      <color rgb="FF000000"/>
      <name val="Arial"/>
    </font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Arial"/>
      <family val="2"/>
    </font>
    <font>
      <b/>
      <sz val="16"/>
      <color theme="1"/>
      <name val="Arial"/>
    </font>
    <font>
      <b/>
      <sz val="18"/>
      <color theme="1"/>
      <name val="Calibri (Body)"/>
    </font>
    <font>
      <b/>
      <sz val="11"/>
      <color theme="1"/>
      <name val="Arial"/>
    </font>
    <font>
      <b/>
      <i/>
      <sz val="11"/>
      <color theme="1"/>
      <name val="Arial"/>
    </font>
    <font>
      <sz val="12"/>
      <color theme="1"/>
      <name val="Arial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 (Body)"/>
    </font>
    <font>
      <b/>
      <i/>
      <sz val="11"/>
      <color rgb="FFFF0000"/>
      <name val="Calibri (Body)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9"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164" fontId="6" fillId="0" borderId="1" xfId="1" applyNumberFormat="1" applyFont="1" applyBorder="1" applyProtection="1"/>
    <xf numFmtId="0" fontId="3" fillId="0" borderId="0" xfId="0" applyFont="1" applyProtection="1"/>
    <xf numFmtId="164" fontId="6" fillId="0" borderId="9" xfId="1" applyNumberFormat="1" applyFont="1" applyBorder="1" applyProtection="1"/>
    <xf numFmtId="0" fontId="8" fillId="0" borderId="0" xfId="0" applyFont="1" applyProtection="1"/>
    <xf numFmtId="38" fontId="6" fillId="0" borderId="10" xfId="1" applyNumberFormat="1" applyFont="1" applyBorder="1" applyProtection="1"/>
    <xf numFmtId="38" fontId="6" fillId="0" borderId="2" xfId="1" applyNumberFormat="1" applyFont="1" applyBorder="1" applyProtection="1"/>
    <xf numFmtId="38" fontId="3" fillId="0" borderId="15" xfId="1" applyNumberFormat="1" applyFont="1" applyBorder="1" applyProtection="1"/>
    <xf numFmtId="38" fontId="3" fillId="0" borderId="16" xfId="1" applyNumberFormat="1" applyFont="1" applyBorder="1" applyProtection="1"/>
    <xf numFmtId="38" fontId="6" fillId="0" borderId="12" xfId="1" applyNumberFormat="1" applyFont="1" applyBorder="1" applyProtection="1"/>
    <xf numFmtId="38" fontId="6" fillId="0" borderId="9" xfId="1" applyNumberFormat="1" applyFont="1" applyBorder="1" applyProtection="1"/>
    <xf numFmtId="38" fontId="6" fillId="0" borderId="1" xfId="1" applyNumberFormat="1" applyFont="1" applyBorder="1" applyProtection="1"/>
    <xf numFmtId="38" fontId="6" fillId="0" borderId="4" xfId="1" applyNumberFormat="1" applyFont="1" applyBorder="1" applyProtection="1"/>
    <xf numFmtId="38" fontId="3" fillId="0" borderId="13" xfId="1" applyNumberFormat="1" applyFont="1" applyBorder="1" applyProtection="1"/>
    <xf numFmtId="38" fontId="3" fillId="0" borderId="5" xfId="1" applyNumberFormat="1" applyFont="1" applyBorder="1" applyProtection="1"/>
    <xf numFmtId="49" fontId="4" fillId="0" borderId="0" xfId="0" applyNumberFormat="1" applyFont="1" applyProtection="1"/>
    <xf numFmtId="164" fontId="0" fillId="0" borderId="0" xfId="1" applyNumberFormat="1" applyFont="1" applyProtection="1"/>
    <xf numFmtId="164" fontId="0" fillId="0" borderId="0" xfId="1" applyNumberFormat="1" applyFont="1" applyBorder="1" applyProtection="1"/>
    <xf numFmtId="49" fontId="5" fillId="0" borderId="0" xfId="0" applyNumberFormat="1" applyFont="1" applyProtection="1"/>
    <xf numFmtId="164" fontId="0" fillId="0" borderId="0" xfId="1" applyNumberFormat="1" applyFont="1" applyBorder="1" applyAlignment="1" applyProtection="1">
      <alignment horizontal="centerContinuous"/>
    </xf>
    <xf numFmtId="49" fontId="3" fillId="0" borderId="0" xfId="0" applyNumberFormat="1" applyFont="1" applyAlignment="1" applyProtection="1">
      <alignment horizontal="center" wrapText="1"/>
    </xf>
    <xf numFmtId="49" fontId="3" fillId="0" borderId="7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6" fillId="0" borderId="8" xfId="1" applyNumberFormat="1" applyFont="1" applyBorder="1" applyProtection="1"/>
    <xf numFmtId="38" fontId="6" fillId="0" borderId="11" xfId="1" applyNumberFormat="1" applyFont="1" applyBorder="1" applyProtection="1"/>
    <xf numFmtId="38" fontId="6" fillId="0" borderId="3" xfId="1" applyNumberFormat="1" applyFont="1" applyBorder="1" applyProtection="1"/>
    <xf numFmtId="0" fontId="3" fillId="0" borderId="0" xfId="0" applyNumberFormat="1" applyFont="1" applyProtection="1"/>
    <xf numFmtId="164" fontId="0" fillId="0" borderId="14" xfId="1" applyNumberFormat="1" applyFont="1" applyBorder="1" applyProtection="1"/>
    <xf numFmtId="164" fontId="0" fillId="0" borderId="6" xfId="1" applyNumberFormat="1" applyFont="1" applyBorder="1" applyProtection="1"/>
    <xf numFmtId="49" fontId="3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 wrapText="1"/>
    </xf>
    <xf numFmtId="0" fontId="3" fillId="0" borderId="1" xfId="0" applyNumberFormat="1" applyFont="1" applyBorder="1" applyProtection="1"/>
    <xf numFmtId="38" fontId="6" fillId="0" borderId="9" xfId="1" applyNumberFormat="1" applyFont="1" applyFill="1" applyBorder="1" applyProtection="1"/>
    <xf numFmtId="38" fontId="6" fillId="0" borderId="1" xfId="1" applyNumberFormat="1" applyFont="1" applyFill="1" applyBorder="1" applyProtection="1"/>
    <xf numFmtId="38" fontId="6" fillId="0" borderId="18" xfId="1" applyNumberFormat="1" applyFont="1" applyFill="1" applyBorder="1" applyProtection="1"/>
    <xf numFmtId="164" fontId="12" fillId="0" borderId="17" xfId="1" applyNumberFormat="1" applyFont="1" applyFill="1" applyBorder="1" applyProtection="1"/>
    <xf numFmtId="164" fontId="12" fillId="0" borderId="18" xfId="1" applyNumberFormat="1" applyFont="1" applyFill="1" applyBorder="1" applyProtection="1"/>
    <xf numFmtId="165" fontId="12" fillId="0" borderId="17" xfId="1" applyNumberFormat="1" applyFont="1" applyFill="1" applyBorder="1" applyProtection="1"/>
    <xf numFmtId="0" fontId="0" fillId="0" borderId="0" xfId="0" applyFill="1" applyProtection="1"/>
    <xf numFmtId="49" fontId="18" fillId="0" borderId="0" xfId="0" applyNumberFormat="1" applyFont="1" applyAlignment="1"/>
    <xf numFmtId="49" fontId="3" fillId="0" borderId="0" xfId="0" applyNumberFormat="1" applyFont="1"/>
    <xf numFmtId="49" fontId="18" fillId="0" borderId="1" xfId="0" applyNumberFormat="1" applyFont="1" applyBorder="1" applyAlignment="1"/>
    <xf numFmtId="49" fontId="18" fillId="0" borderId="0" xfId="0" applyNumberFormat="1" applyFont="1" applyProtection="1"/>
    <xf numFmtId="49" fontId="3" fillId="0" borderId="19" xfId="0" applyNumberFormat="1" applyFont="1" applyBorder="1" applyAlignment="1" applyProtection="1">
      <alignment horizontal="center" wrapText="1"/>
    </xf>
    <xf numFmtId="164" fontId="6" fillId="0" borderId="21" xfId="1" applyNumberFormat="1" applyFont="1" applyBorder="1" applyProtection="1"/>
    <xf numFmtId="38" fontId="6" fillId="0" borderId="21" xfId="1" applyNumberFormat="1" applyFont="1" applyBorder="1" applyProtection="1"/>
    <xf numFmtId="38" fontId="6" fillId="0" borderId="21" xfId="1" applyNumberFormat="1" applyFont="1" applyFill="1" applyBorder="1" applyProtection="1"/>
    <xf numFmtId="38" fontId="6" fillId="0" borderId="22" xfId="1" applyNumberFormat="1" applyFont="1" applyBorder="1" applyProtection="1"/>
    <xf numFmtId="38" fontId="3" fillId="0" borderId="23" xfId="1" applyNumberFormat="1" applyFont="1" applyBorder="1" applyProtection="1"/>
    <xf numFmtId="38" fontId="6" fillId="0" borderId="25" xfId="1" applyNumberFormat="1" applyFont="1" applyBorder="1" applyProtection="1"/>
    <xf numFmtId="38" fontId="3" fillId="0" borderId="26" xfId="1" applyNumberFormat="1" applyFont="1" applyBorder="1" applyProtection="1"/>
    <xf numFmtId="164" fontId="0" fillId="0" borderId="27" xfId="1" applyNumberFormat="1" applyFont="1" applyBorder="1" applyProtection="1"/>
    <xf numFmtId="164" fontId="12" fillId="0" borderId="21" xfId="1" applyNumberFormat="1" applyFont="1" applyFill="1" applyBorder="1" applyProtection="1"/>
    <xf numFmtId="38" fontId="0" fillId="0" borderId="0" xfId="0" applyNumberFormat="1" applyProtection="1"/>
    <xf numFmtId="38" fontId="6" fillId="0" borderId="24" xfId="1" applyNumberFormat="1" applyFont="1" applyFill="1" applyBorder="1" applyProtection="1"/>
    <xf numFmtId="38" fontId="6" fillId="0" borderId="3" xfId="1" applyNumberFormat="1" applyFont="1" applyFill="1" applyBorder="1" applyProtection="1"/>
    <xf numFmtId="164" fontId="0" fillId="0" borderId="0" xfId="1" applyNumberFormat="1" applyFont="1" applyFill="1" applyBorder="1" applyProtection="1"/>
    <xf numFmtId="0" fontId="0" fillId="0" borderId="0" xfId="0" applyBorder="1" applyProtection="1"/>
    <xf numFmtId="164" fontId="0" fillId="0" borderId="28" xfId="1" applyNumberFormat="1" applyFont="1" applyBorder="1" applyAlignment="1" applyProtection="1">
      <alignment horizontal="centerContinuous"/>
    </xf>
    <xf numFmtId="49" fontId="3" fillId="0" borderId="27" xfId="0" applyNumberFormat="1" applyFont="1" applyBorder="1" applyAlignment="1" applyProtection="1">
      <alignment horizontal="center" wrapText="1"/>
    </xf>
    <xf numFmtId="0" fontId="0" fillId="0" borderId="21" xfId="0" applyBorder="1" applyProtection="1"/>
    <xf numFmtId="49" fontId="18" fillId="0" borderId="1" xfId="0" applyNumberFormat="1" applyFont="1" applyBorder="1" applyProtection="1"/>
    <xf numFmtId="0" fontId="0" fillId="0" borderId="1" xfId="0" applyBorder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Protection="1"/>
    <xf numFmtId="49" fontId="3" fillId="0" borderId="29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166" fontId="6" fillId="0" borderId="1" xfId="0" applyNumberFormat="1" applyFont="1" applyBorder="1"/>
    <xf numFmtId="0" fontId="8" fillId="0" borderId="21" xfId="0" applyFont="1" applyBorder="1" applyProtection="1"/>
    <xf numFmtId="0" fontId="0" fillId="0" borderId="21" xfId="0" applyFill="1" applyBorder="1" applyProtection="1"/>
    <xf numFmtId="49" fontId="3" fillId="0" borderId="0" xfId="0" applyNumberFormat="1" applyFont="1" applyBorder="1" applyAlignment="1" applyProtection="1">
      <alignment horizontal="center" wrapText="1"/>
    </xf>
    <xf numFmtId="0" fontId="0" fillId="0" borderId="0" xfId="0" applyBorder="1"/>
    <xf numFmtId="0" fontId="0" fillId="0" borderId="28" xfId="0" applyBorder="1"/>
    <xf numFmtId="164" fontId="0" fillId="0" borderId="0" xfId="1" applyNumberFormat="1" applyFont="1" applyBorder="1" applyAlignment="1" applyProtection="1">
      <alignment horizontal="center"/>
    </xf>
    <xf numFmtId="49" fontId="19" fillId="0" borderId="0" xfId="0" applyNumberFormat="1" applyFont="1" applyBorder="1" applyAlignment="1" applyProtection="1">
      <alignment horizontal="left"/>
    </xf>
    <xf numFmtId="0" fontId="20" fillId="0" borderId="0" xfId="0" applyFont="1"/>
    <xf numFmtId="49" fontId="19" fillId="0" borderId="0" xfId="0" applyNumberFormat="1" applyFont="1" applyBorder="1" applyProtection="1"/>
    <xf numFmtId="49" fontId="3" fillId="0" borderId="28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0" fillId="0" borderId="28" xfId="0" applyBorder="1" applyProtection="1"/>
    <xf numFmtId="49" fontId="3" fillId="0" borderId="0" xfId="0" applyNumberFormat="1" applyFont="1" applyBorder="1" applyAlignment="1" applyProtection="1">
      <alignment horizontal="centerContinuous"/>
    </xf>
    <xf numFmtId="0" fontId="11" fillId="0" borderId="21" xfId="0" applyFont="1" applyBorder="1" applyProtection="1"/>
    <xf numFmtId="38" fontId="16" fillId="0" borderId="21" xfId="1" applyNumberFormat="1" applyFont="1" applyBorder="1" applyProtection="1"/>
    <xf numFmtId="38" fontId="17" fillId="0" borderId="21" xfId="1" applyNumberFormat="1" applyFont="1" applyBorder="1" applyProtection="1"/>
    <xf numFmtId="0" fontId="15" fillId="0" borderId="21" xfId="0" applyFont="1" applyBorder="1" applyProtection="1"/>
    <xf numFmtId="0" fontId="10" fillId="0" borderId="21" xfId="0" applyFont="1" applyBorder="1" applyProtection="1"/>
    <xf numFmtId="0" fontId="13" fillId="0" borderId="21" xfId="0" applyFont="1" applyBorder="1" applyProtection="1"/>
    <xf numFmtId="49" fontId="0" fillId="0" borderId="28" xfId="1" applyNumberFormat="1" applyFont="1" applyBorder="1" applyAlignment="1" applyProtection="1">
      <alignment horizontal="centerContinuous"/>
    </xf>
    <xf numFmtId="0" fontId="14" fillId="0" borderId="21" xfId="0" applyFont="1" applyBorder="1" applyProtection="1"/>
    <xf numFmtId="0" fontId="11" fillId="0" borderId="21" xfId="0" applyFont="1" applyFill="1" applyBorder="1" applyProtection="1"/>
    <xf numFmtId="0" fontId="13" fillId="0" borderId="21" xfId="0" applyFont="1" applyFill="1" applyBorder="1" applyProtection="1"/>
    <xf numFmtId="38" fontId="6" fillId="0" borderId="24" xfId="1" applyNumberFormat="1" applyFont="1" applyBorder="1" applyProtection="1"/>
    <xf numFmtId="38" fontId="6" fillId="0" borderId="30" xfId="1" applyNumberFormat="1" applyFont="1" applyBorder="1" applyProtection="1"/>
    <xf numFmtId="38" fontId="6" fillId="0" borderId="0" xfId="0" applyNumberFormat="1" applyFont="1"/>
    <xf numFmtId="38" fontId="6" fillId="0" borderId="0" xfId="0" applyNumberFormat="1" applyFont="1" applyBorder="1"/>
    <xf numFmtId="38" fontId="6" fillId="0" borderId="1" xfId="0" applyNumberFormat="1" applyFont="1" applyBorder="1"/>
    <xf numFmtId="167" fontId="6" fillId="0" borderId="1" xfId="0" applyNumberFormat="1" applyFont="1" applyBorder="1"/>
    <xf numFmtId="167" fontId="6" fillId="0" borderId="1" xfId="1" applyNumberFormat="1" applyFont="1" applyBorder="1" applyProtection="1"/>
    <xf numFmtId="38" fontId="6" fillId="0" borderId="31" xfId="0" applyNumberFormat="1" applyFont="1" applyBorder="1"/>
    <xf numFmtId="164" fontId="6" fillId="0" borderId="32" xfId="1" applyNumberFormat="1" applyFont="1" applyBorder="1" applyProtection="1"/>
    <xf numFmtId="164" fontId="6" fillId="0" borderId="33" xfId="1" applyNumberFormat="1" applyFont="1" applyBorder="1" applyProtection="1"/>
    <xf numFmtId="38" fontId="6" fillId="0" borderId="33" xfId="1" applyNumberFormat="1" applyFont="1" applyBorder="1" applyProtection="1"/>
    <xf numFmtId="38" fontId="6" fillId="0" borderId="34" xfId="1" applyNumberFormat="1" applyFont="1" applyBorder="1" applyProtection="1"/>
    <xf numFmtId="38" fontId="6" fillId="0" borderId="35" xfId="1" applyNumberFormat="1" applyFont="1" applyBorder="1" applyProtection="1"/>
    <xf numFmtId="38" fontId="3" fillId="0" borderId="36" xfId="1" applyNumberFormat="1" applyFont="1" applyBorder="1" applyProtection="1"/>
    <xf numFmtId="38" fontId="3" fillId="0" borderId="37" xfId="1" applyNumberFormat="1" applyFont="1" applyBorder="1" applyProtection="1"/>
    <xf numFmtId="164" fontId="0" fillId="0" borderId="29" xfId="1" applyNumberFormat="1" applyFont="1" applyBorder="1" applyProtection="1"/>
    <xf numFmtId="0" fontId="21" fillId="0" borderId="0" xfId="1" applyNumberFormat="1" applyFont="1" applyBorder="1" applyAlignment="1" applyProtection="1">
      <alignment horizontal="center" vertical="center"/>
    </xf>
    <xf numFmtId="0" fontId="25" fillId="0" borderId="0" xfId="1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vertical="top" wrapText="1"/>
    </xf>
    <xf numFmtId="0" fontId="11" fillId="0" borderId="0" xfId="0" applyFont="1" applyProtection="1"/>
    <xf numFmtId="49" fontId="27" fillId="0" borderId="0" xfId="0" applyNumberFormat="1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right"/>
    </xf>
    <xf numFmtId="49" fontId="29" fillId="0" borderId="0" xfId="0" applyNumberFormat="1" applyFont="1" applyBorder="1" applyAlignment="1" applyProtection="1">
      <alignment horizontal="right"/>
    </xf>
    <xf numFmtId="164" fontId="11" fillId="0" borderId="0" xfId="1" applyNumberFormat="1" applyFont="1" applyBorder="1" applyAlignment="1" applyProtection="1">
      <alignment horizontal="centerContinuous"/>
    </xf>
    <xf numFmtId="38" fontId="11" fillId="0" borderId="0" xfId="0" applyNumberFormat="1" applyFont="1" applyProtection="1"/>
    <xf numFmtId="164" fontId="0" fillId="0" borderId="0" xfId="1" applyNumberFormat="1" applyFont="1" applyBorder="1" applyAlignment="1" applyProtection="1">
      <alignment horizontal="left"/>
    </xf>
    <xf numFmtId="164" fontId="11" fillId="0" borderId="0" xfId="1" applyNumberFormat="1" applyFont="1" applyBorder="1" applyAlignment="1" applyProtection="1">
      <alignment horizontal="left"/>
    </xf>
    <xf numFmtId="49" fontId="31" fillId="0" borderId="0" xfId="0" applyNumberFormat="1" applyFont="1" applyBorder="1" applyAlignment="1" applyProtection="1">
      <alignment horizontal="right"/>
    </xf>
    <xf numFmtId="166" fontId="30" fillId="0" borderId="0" xfId="0" applyNumberFormat="1" applyFont="1" applyBorder="1"/>
    <xf numFmtId="38" fontId="6" fillId="0" borderId="24" xfId="0" applyNumberFormat="1" applyFont="1" applyBorder="1"/>
    <xf numFmtId="37" fontId="0" fillId="0" borderId="0" xfId="1" applyNumberFormat="1" applyFont="1" applyBorder="1" applyAlignment="1" applyProtection="1">
      <alignment horizontal="right"/>
    </xf>
    <xf numFmtId="38" fontId="30" fillId="0" borderId="0" xfId="1" applyNumberFormat="1" applyFont="1" applyBorder="1" applyProtection="1"/>
    <xf numFmtId="49" fontId="18" fillId="0" borderId="1" xfId="0" applyNumberFormat="1" applyFont="1" applyBorder="1" applyAlignment="1">
      <alignment wrapText="1"/>
    </xf>
    <xf numFmtId="38" fontId="26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/>
    </xf>
    <xf numFmtId="164" fontId="0" fillId="0" borderId="28" xfId="1" applyNumberFormat="1" applyFont="1" applyBorder="1" applyAlignment="1" applyProtection="1">
      <alignment horizontal="center"/>
    </xf>
    <xf numFmtId="49" fontId="3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/>
    </xf>
    <xf numFmtId="38" fontId="0" fillId="0" borderId="0" xfId="0" applyNumberFormat="1" applyBorder="1" applyProtection="1"/>
    <xf numFmtId="164" fontId="8" fillId="0" borderId="0" xfId="1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"/>
    </xf>
    <xf numFmtId="38" fontId="0" fillId="0" borderId="0" xfId="0" applyNumberFormat="1"/>
    <xf numFmtId="0" fontId="11" fillId="0" borderId="0" xfId="0" applyFont="1"/>
    <xf numFmtId="164" fontId="11" fillId="0" borderId="0" xfId="1" applyNumberFormat="1" applyFont="1" applyBorder="1" applyProtection="1"/>
    <xf numFmtId="38" fontId="11" fillId="0" borderId="0" xfId="0" applyNumberFormat="1" applyFont="1" applyBorder="1" applyProtection="1"/>
    <xf numFmtId="38" fontId="11" fillId="0" borderId="0" xfId="0" applyNumberFormat="1" applyFont="1"/>
    <xf numFmtId="0" fontId="12" fillId="0" borderId="0" xfId="3" applyFont="1"/>
    <xf numFmtId="0" fontId="33" fillId="0" borderId="0" xfId="3" applyFont="1"/>
    <xf numFmtId="0" fontId="34" fillId="0" borderId="0" xfId="3" applyFont="1"/>
    <xf numFmtId="0" fontId="33" fillId="0" borderId="0" xfId="3" applyFont="1" applyAlignment="1">
      <alignment horizontal="center" wrapText="1"/>
    </xf>
    <xf numFmtId="9" fontId="34" fillId="0" borderId="0" xfId="3" applyNumberFormat="1" applyFont="1"/>
    <xf numFmtId="0" fontId="34" fillId="0" borderId="31" xfId="3" applyFont="1" applyBorder="1"/>
    <xf numFmtId="0" fontId="35" fillId="0" borderId="0" xfId="3" applyFont="1"/>
    <xf numFmtId="0" fontId="33" fillId="0" borderId="0" xfId="3" applyFont="1" applyAlignment="1">
      <alignment horizontal="center"/>
    </xf>
    <xf numFmtId="0" fontId="10" fillId="0" borderId="0" xfId="3" applyFont="1"/>
    <xf numFmtId="0" fontId="1" fillId="0" borderId="0" xfId="3" applyFont="1" applyAlignment="1">
      <alignment horizontal="center" wrapText="1"/>
    </xf>
    <xf numFmtId="9" fontId="34" fillId="0" borderId="0" xfId="3" applyNumberFormat="1" applyFont="1" applyBorder="1"/>
    <xf numFmtId="164" fontId="0" fillId="0" borderId="3" xfId="1" applyNumberFormat="1" applyFont="1" applyBorder="1" applyProtection="1"/>
    <xf numFmtId="164" fontId="0" fillId="0" borderId="24" xfId="1" applyNumberFormat="1" applyFont="1" applyBorder="1" applyProtection="1"/>
    <xf numFmtId="0" fontId="0" fillId="0" borderId="44" xfId="0" applyBorder="1" applyProtection="1"/>
    <xf numFmtId="49" fontId="3" fillId="2" borderId="19" xfId="0" applyNumberFormat="1" applyFont="1" applyFill="1" applyBorder="1" applyAlignment="1" applyProtection="1">
      <alignment horizontal="center" wrapText="1"/>
    </xf>
    <xf numFmtId="164" fontId="6" fillId="2" borderId="20" xfId="1" applyNumberFormat="1" applyFont="1" applyFill="1" applyBorder="1" applyProtection="1"/>
    <xf numFmtId="164" fontId="6" fillId="2" borderId="1" xfId="1" applyNumberFormat="1" applyFont="1" applyFill="1" applyBorder="1" applyProtection="1"/>
    <xf numFmtId="164" fontId="6" fillId="2" borderId="21" xfId="1" applyNumberFormat="1" applyFont="1" applyFill="1" applyBorder="1" applyProtection="1"/>
    <xf numFmtId="38" fontId="6" fillId="2" borderId="21" xfId="1" applyNumberFormat="1" applyFont="1" applyFill="1" applyBorder="1" applyProtection="1"/>
    <xf numFmtId="38" fontId="6" fillId="2" borderId="1" xfId="1" applyNumberFormat="1" applyFont="1" applyFill="1" applyBorder="1" applyProtection="1"/>
    <xf numFmtId="38" fontId="6" fillId="2" borderId="22" xfId="1" applyNumberFormat="1" applyFont="1" applyFill="1" applyBorder="1" applyProtection="1"/>
    <xf numFmtId="38" fontId="6" fillId="2" borderId="2" xfId="1" applyNumberFormat="1" applyFont="1" applyFill="1" applyBorder="1" applyProtection="1"/>
    <xf numFmtId="38" fontId="3" fillId="2" borderId="23" xfId="1" applyNumberFormat="1" applyFont="1" applyFill="1" applyBorder="1" applyProtection="1"/>
    <xf numFmtId="38" fontId="3" fillId="2" borderId="16" xfId="1" applyNumberFormat="1" applyFont="1" applyFill="1" applyBorder="1" applyProtection="1"/>
    <xf numFmtId="38" fontId="6" fillId="2" borderId="3" xfId="1" applyNumberFormat="1" applyFont="1" applyFill="1" applyBorder="1" applyProtection="1"/>
    <xf numFmtId="38" fontId="6" fillId="2" borderId="25" xfId="1" applyNumberFormat="1" applyFont="1" applyFill="1" applyBorder="1" applyProtection="1"/>
    <xf numFmtId="38" fontId="6" fillId="2" borderId="40" xfId="1" applyNumberFormat="1" applyFont="1" applyFill="1" applyBorder="1" applyProtection="1"/>
    <xf numFmtId="38" fontId="6" fillId="2" borderId="41" xfId="1" applyNumberFormat="1" applyFont="1" applyFill="1" applyBorder="1" applyProtection="1"/>
    <xf numFmtId="38" fontId="6" fillId="2" borderId="43" xfId="1" applyNumberFormat="1" applyFont="1" applyFill="1" applyBorder="1" applyProtection="1"/>
    <xf numFmtId="38" fontId="3" fillId="2" borderId="26" xfId="1" applyNumberFormat="1" applyFont="1" applyFill="1" applyBorder="1" applyProtection="1"/>
    <xf numFmtId="38" fontId="3" fillId="2" borderId="39" xfId="1" applyNumberFormat="1" applyFont="1" applyFill="1" applyBorder="1" applyProtection="1"/>
    <xf numFmtId="38" fontId="3" fillId="2" borderId="42" xfId="1" applyNumberFormat="1" applyFont="1" applyFill="1" applyBorder="1" applyProtection="1"/>
    <xf numFmtId="38" fontId="3" fillId="2" borderId="27" xfId="1" applyNumberFormat="1" applyFont="1" applyFill="1" applyBorder="1" applyProtection="1"/>
    <xf numFmtId="164" fontId="0" fillId="2" borderId="27" xfId="1" applyNumberFormat="1" applyFont="1" applyFill="1" applyBorder="1" applyProtection="1"/>
    <xf numFmtId="164" fontId="0" fillId="2" borderId="6" xfId="1" applyNumberFormat="1" applyFont="1" applyFill="1" applyBorder="1" applyProtection="1"/>
    <xf numFmtId="38" fontId="6" fillId="2" borderId="24" xfId="1" applyNumberFormat="1" applyFont="1" applyFill="1" applyBorder="1" applyProtection="1"/>
    <xf numFmtId="49" fontId="3" fillId="3" borderId="19" xfId="0" applyNumberFormat="1" applyFont="1" applyFill="1" applyBorder="1" applyAlignment="1" applyProtection="1">
      <alignment horizontal="center" wrapText="1"/>
    </xf>
    <xf numFmtId="164" fontId="6" fillId="3" borderId="20" xfId="1" applyNumberFormat="1" applyFont="1" applyFill="1" applyBorder="1" applyProtection="1"/>
    <xf numFmtId="164" fontId="6" fillId="3" borderId="1" xfId="1" applyNumberFormat="1" applyFont="1" applyFill="1" applyBorder="1" applyProtection="1"/>
    <xf numFmtId="164" fontId="6" fillId="3" borderId="21" xfId="1" applyNumberFormat="1" applyFont="1" applyFill="1" applyBorder="1" applyProtection="1"/>
    <xf numFmtId="38" fontId="6" fillId="3" borderId="21" xfId="1" applyNumberFormat="1" applyFont="1" applyFill="1" applyBorder="1" applyProtection="1"/>
    <xf numFmtId="38" fontId="6" fillId="3" borderId="1" xfId="1" applyNumberFormat="1" applyFont="1" applyFill="1" applyBorder="1" applyProtection="1"/>
    <xf numFmtId="38" fontId="6" fillId="3" borderId="22" xfId="1" applyNumberFormat="1" applyFont="1" applyFill="1" applyBorder="1" applyProtection="1"/>
    <xf numFmtId="38" fontId="6" fillId="3" borderId="2" xfId="1" applyNumberFormat="1" applyFont="1" applyFill="1" applyBorder="1" applyProtection="1"/>
    <xf numFmtId="38" fontId="3" fillId="3" borderId="23" xfId="1" applyNumberFormat="1" applyFont="1" applyFill="1" applyBorder="1" applyProtection="1"/>
    <xf numFmtId="38" fontId="3" fillId="3" borderId="16" xfId="1" applyNumberFormat="1" applyFont="1" applyFill="1" applyBorder="1" applyProtection="1"/>
    <xf numFmtId="38" fontId="6" fillId="3" borderId="24" xfId="1" applyNumberFormat="1" applyFont="1" applyFill="1" applyBorder="1" applyProtection="1"/>
    <xf numFmtId="38" fontId="6" fillId="3" borderId="3" xfId="1" applyNumberFormat="1" applyFont="1" applyFill="1" applyBorder="1" applyProtection="1"/>
    <xf numFmtId="38" fontId="6" fillId="3" borderId="25" xfId="1" applyNumberFormat="1" applyFont="1" applyFill="1" applyBorder="1" applyProtection="1"/>
    <xf numFmtId="38" fontId="6" fillId="3" borderId="40" xfId="1" applyNumberFormat="1" applyFont="1" applyFill="1" applyBorder="1" applyProtection="1"/>
    <xf numFmtId="38" fontId="6" fillId="3" borderId="41" xfId="1" applyNumberFormat="1" applyFont="1" applyFill="1" applyBorder="1" applyProtection="1"/>
    <xf numFmtId="38" fontId="6" fillId="3" borderId="43" xfId="1" applyNumberFormat="1" applyFont="1" applyFill="1" applyBorder="1" applyProtection="1"/>
    <xf numFmtId="38" fontId="3" fillId="3" borderId="26" xfId="1" applyNumberFormat="1" applyFont="1" applyFill="1" applyBorder="1" applyProtection="1"/>
    <xf numFmtId="38" fontId="3" fillId="3" borderId="39" xfId="1" applyNumberFormat="1" applyFont="1" applyFill="1" applyBorder="1" applyProtection="1"/>
    <xf numFmtId="38" fontId="3" fillId="3" borderId="42" xfId="1" applyNumberFormat="1" applyFont="1" applyFill="1" applyBorder="1" applyProtection="1"/>
    <xf numFmtId="38" fontId="3" fillId="3" borderId="27" xfId="1" applyNumberFormat="1" applyFont="1" applyFill="1" applyBorder="1" applyProtection="1"/>
    <xf numFmtId="164" fontId="0" fillId="3" borderId="27" xfId="1" applyNumberFormat="1" applyFont="1" applyFill="1" applyBorder="1" applyProtection="1"/>
    <xf numFmtId="164" fontId="0" fillId="3" borderId="6" xfId="1" applyNumberFormat="1" applyFont="1" applyFill="1" applyBorder="1" applyProtection="1"/>
    <xf numFmtId="38" fontId="6" fillId="3" borderId="38" xfId="1" applyNumberFormat="1" applyFont="1" applyFill="1" applyBorder="1" applyProtection="1"/>
    <xf numFmtId="49" fontId="3" fillId="2" borderId="27" xfId="0" applyNumberFormat="1" applyFont="1" applyFill="1" applyBorder="1" applyAlignment="1" applyProtection="1">
      <alignment horizontal="center" wrapText="1"/>
    </xf>
    <xf numFmtId="49" fontId="3" fillId="4" borderId="27" xfId="0" applyNumberFormat="1" applyFont="1" applyFill="1" applyBorder="1" applyAlignment="1" applyProtection="1">
      <alignment horizontal="center" wrapText="1"/>
    </xf>
    <xf numFmtId="164" fontId="6" fillId="4" borderId="1" xfId="1" applyNumberFormat="1" applyFont="1" applyFill="1" applyBorder="1" applyProtection="1"/>
    <xf numFmtId="38" fontId="6" fillId="4" borderId="1" xfId="1" applyNumberFormat="1" applyFont="1" applyFill="1" applyBorder="1" applyProtection="1"/>
    <xf numFmtId="38" fontId="6" fillId="4" borderId="2" xfId="1" applyNumberFormat="1" applyFont="1" applyFill="1" applyBorder="1" applyProtection="1"/>
    <xf numFmtId="38" fontId="3" fillId="4" borderId="16" xfId="1" applyNumberFormat="1" applyFont="1" applyFill="1" applyBorder="1" applyProtection="1"/>
    <xf numFmtId="38" fontId="6" fillId="4" borderId="3" xfId="1" applyNumberFormat="1" applyFont="1" applyFill="1" applyBorder="1" applyProtection="1"/>
    <xf numFmtId="38" fontId="6" fillId="4" borderId="4" xfId="1" applyNumberFormat="1" applyFont="1" applyFill="1" applyBorder="1" applyProtection="1"/>
    <xf numFmtId="38" fontId="3" fillId="4" borderId="5" xfId="1" applyNumberFormat="1" applyFont="1" applyFill="1" applyBorder="1" applyProtection="1"/>
    <xf numFmtId="164" fontId="0" fillId="4" borderId="6" xfId="1" applyNumberFormat="1" applyFont="1" applyFill="1" applyBorder="1" applyProtection="1"/>
    <xf numFmtId="49" fontId="3" fillId="5" borderId="27" xfId="0" applyNumberFormat="1" applyFont="1" applyFill="1" applyBorder="1" applyAlignment="1" applyProtection="1">
      <alignment horizontal="center" wrapText="1"/>
    </xf>
    <xf numFmtId="164" fontId="6" fillId="5" borderId="1" xfId="1" applyNumberFormat="1" applyFont="1" applyFill="1" applyBorder="1" applyProtection="1"/>
    <xf numFmtId="38" fontId="6" fillId="5" borderId="1" xfId="1" applyNumberFormat="1" applyFont="1" applyFill="1" applyBorder="1" applyProtection="1"/>
    <xf numFmtId="38" fontId="6" fillId="5" borderId="2" xfId="1" applyNumberFormat="1" applyFont="1" applyFill="1" applyBorder="1" applyProtection="1"/>
    <xf numFmtId="38" fontId="3" fillId="5" borderId="16" xfId="1" applyNumberFormat="1" applyFont="1" applyFill="1" applyBorder="1" applyProtection="1"/>
    <xf numFmtId="38" fontId="6" fillId="5" borderId="3" xfId="1" applyNumberFormat="1" applyFont="1" applyFill="1" applyBorder="1" applyProtection="1"/>
    <xf numFmtId="38" fontId="6" fillId="5" borderId="4" xfId="1" applyNumberFormat="1" applyFont="1" applyFill="1" applyBorder="1" applyProtection="1"/>
    <xf numFmtId="38" fontId="3" fillId="5" borderId="5" xfId="1" applyNumberFormat="1" applyFont="1" applyFill="1" applyBorder="1" applyProtection="1"/>
    <xf numFmtId="164" fontId="0" fillId="5" borderId="6" xfId="1" applyNumberFormat="1" applyFont="1" applyFill="1" applyBorder="1" applyProtection="1"/>
    <xf numFmtId="49" fontId="3" fillId="4" borderId="19" xfId="0" applyNumberFormat="1" applyFont="1" applyFill="1" applyBorder="1" applyAlignment="1" applyProtection="1">
      <alignment horizontal="center" wrapText="1"/>
    </xf>
    <xf numFmtId="164" fontId="6" fillId="4" borderId="20" xfId="1" applyNumberFormat="1" applyFont="1" applyFill="1" applyBorder="1" applyProtection="1"/>
    <xf numFmtId="164" fontId="6" fillId="4" borderId="21" xfId="1" applyNumberFormat="1" applyFont="1" applyFill="1" applyBorder="1" applyProtection="1"/>
    <xf numFmtId="38" fontId="6" fillId="4" borderId="21" xfId="1" applyNumberFormat="1" applyFont="1" applyFill="1" applyBorder="1" applyProtection="1"/>
    <xf numFmtId="38" fontId="6" fillId="4" borderId="22" xfId="1" applyNumberFormat="1" applyFont="1" applyFill="1" applyBorder="1" applyProtection="1"/>
    <xf numFmtId="38" fontId="3" fillId="4" borderId="23" xfId="1" applyNumberFormat="1" applyFont="1" applyFill="1" applyBorder="1" applyProtection="1"/>
    <xf numFmtId="38" fontId="6" fillId="4" borderId="24" xfId="1" applyNumberFormat="1" applyFont="1" applyFill="1" applyBorder="1" applyProtection="1"/>
    <xf numFmtId="38" fontId="6" fillId="4" borderId="25" xfId="1" applyNumberFormat="1" applyFont="1" applyFill="1" applyBorder="1" applyProtection="1"/>
    <xf numFmtId="38" fontId="3" fillId="4" borderId="26" xfId="1" applyNumberFormat="1" applyFont="1" applyFill="1" applyBorder="1" applyProtection="1"/>
    <xf numFmtId="164" fontId="0" fillId="4" borderId="27" xfId="1" applyNumberFormat="1" applyFont="1" applyFill="1" applyBorder="1" applyProtection="1"/>
    <xf numFmtId="49" fontId="3" fillId="5" borderId="19" xfId="0" applyNumberFormat="1" applyFont="1" applyFill="1" applyBorder="1" applyAlignment="1" applyProtection="1">
      <alignment horizontal="center" wrapText="1"/>
    </xf>
    <xf numFmtId="164" fontId="6" fillId="5" borderId="20" xfId="1" applyNumberFormat="1" applyFont="1" applyFill="1" applyBorder="1" applyProtection="1"/>
    <xf numFmtId="164" fontId="6" fillId="5" borderId="21" xfId="1" applyNumberFormat="1" applyFont="1" applyFill="1" applyBorder="1" applyProtection="1"/>
    <xf numFmtId="38" fontId="6" fillId="5" borderId="21" xfId="1" applyNumberFormat="1" applyFont="1" applyFill="1" applyBorder="1" applyProtection="1"/>
    <xf numFmtId="38" fontId="6" fillId="5" borderId="22" xfId="1" applyNumberFormat="1" applyFont="1" applyFill="1" applyBorder="1" applyProtection="1"/>
    <xf numFmtId="38" fontId="3" fillId="5" borderId="23" xfId="1" applyNumberFormat="1" applyFont="1" applyFill="1" applyBorder="1" applyProtection="1"/>
    <xf numFmtId="38" fontId="6" fillId="5" borderId="24" xfId="1" applyNumberFormat="1" applyFont="1" applyFill="1" applyBorder="1" applyProtection="1"/>
    <xf numFmtId="38" fontId="6" fillId="5" borderId="25" xfId="1" applyNumberFormat="1" applyFont="1" applyFill="1" applyBorder="1" applyProtection="1"/>
    <xf numFmtId="38" fontId="6" fillId="5" borderId="40" xfId="1" applyNumberFormat="1" applyFont="1" applyFill="1" applyBorder="1" applyProtection="1"/>
    <xf numFmtId="38" fontId="6" fillId="5" borderId="41" xfId="1" applyNumberFormat="1" applyFont="1" applyFill="1" applyBorder="1" applyProtection="1"/>
    <xf numFmtId="38" fontId="6" fillId="5" borderId="43" xfId="1" applyNumberFormat="1" applyFont="1" applyFill="1" applyBorder="1" applyProtection="1"/>
    <xf numFmtId="38" fontId="3" fillId="5" borderId="26" xfId="1" applyNumberFormat="1" applyFont="1" applyFill="1" applyBorder="1" applyProtection="1"/>
    <xf numFmtId="38" fontId="3" fillId="5" borderId="39" xfId="1" applyNumberFormat="1" applyFont="1" applyFill="1" applyBorder="1" applyProtection="1"/>
    <xf numFmtId="38" fontId="3" fillId="5" borderId="42" xfId="1" applyNumberFormat="1" applyFont="1" applyFill="1" applyBorder="1" applyProtection="1"/>
    <xf numFmtId="38" fontId="3" fillId="5" borderId="27" xfId="1" applyNumberFormat="1" applyFont="1" applyFill="1" applyBorder="1" applyProtection="1"/>
    <xf numFmtId="164" fontId="0" fillId="5" borderId="27" xfId="1" applyNumberFormat="1" applyFont="1" applyFill="1" applyBorder="1" applyProtection="1"/>
    <xf numFmtId="49" fontId="3" fillId="3" borderId="29" xfId="0" applyNumberFormat="1" applyFont="1" applyFill="1" applyBorder="1" applyAlignment="1" applyProtection="1">
      <alignment horizontal="center" wrapText="1"/>
    </xf>
    <xf numFmtId="38" fontId="6" fillId="2" borderId="4" xfId="1" applyNumberFormat="1" applyFont="1" applyFill="1" applyBorder="1" applyProtection="1"/>
    <xf numFmtId="38" fontId="3" fillId="2" borderId="5" xfId="1" applyNumberFormat="1" applyFont="1" applyFill="1" applyBorder="1" applyProtection="1"/>
    <xf numFmtId="164" fontId="8" fillId="0" borderId="0" xfId="1" applyNumberFormat="1" applyFont="1" applyBorder="1" applyAlignment="1" applyProtection="1">
      <alignment horizontal="center"/>
    </xf>
    <xf numFmtId="38" fontId="11" fillId="0" borderId="0" xfId="0" applyNumberFormat="1" applyFont="1" applyBorder="1"/>
    <xf numFmtId="0" fontId="37" fillId="0" borderId="0" xfId="3" applyFont="1"/>
    <xf numFmtId="168" fontId="12" fillId="0" borderId="0" xfId="3" applyNumberFormat="1" applyFont="1"/>
    <xf numFmtId="0" fontId="38" fillId="0" borderId="0" xfId="3" applyFont="1"/>
    <xf numFmtId="9" fontId="34" fillId="6" borderId="0" xfId="3" applyNumberFormat="1" applyFont="1" applyFill="1"/>
    <xf numFmtId="9" fontId="34" fillId="6" borderId="31" xfId="3" applyNumberFormat="1" applyFont="1" applyFill="1" applyBorder="1"/>
    <xf numFmtId="0" fontId="12" fillId="6" borderId="0" xfId="3" applyFont="1" applyFill="1"/>
    <xf numFmtId="168" fontId="12" fillId="6" borderId="0" xfId="3" applyNumberFormat="1" applyFont="1" applyFill="1"/>
    <xf numFmtId="9" fontId="34" fillId="3" borderId="0" xfId="3" applyNumberFormat="1" applyFont="1" applyFill="1"/>
    <xf numFmtId="9" fontId="34" fillId="3" borderId="31" xfId="3" applyNumberFormat="1" applyFont="1" applyFill="1" applyBorder="1"/>
    <xf numFmtId="0" fontId="12" fillId="3" borderId="0" xfId="3" applyFont="1" applyFill="1"/>
    <xf numFmtId="168" fontId="12" fillId="3" borderId="0" xfId="3" applyNumberFormat="1" applyFont="1" applyFill="1"/>
    <xf numFmtId="9" fontId="34" fillId="6" borderId="9" xfId="3" applyNumberFormat="1" applyFont="1" applyFill="1" applyBorder="1"/>
    <xf numFmtId="9" fontId="34" fillId="6" borderId="11" xfId="3" applyNumberFormat="1" applyFont="1" applyFill="1" applyBorder="1"/>
    <xf numFmtId="0" fontId="12" fillId="6" borderId="9" xfId="3" applyFont="1" applyFill="1" applyBorder="1"/>
    <xf numFmtId="168" fontId="12" fillId="6" borderId="9" xfId="3" applyNumberFormat="1" applyFont="1" applyFill="1" applyBorder="1"/>
    <xf numFmtId="0" fontId="33" fillId="6" borderId="45" xfId="3" applyFont="1" applyFill="1" applyBorder="1" applyAlignment="1">
      <alignment horizontal="center"/>
    </xf>
    <xf numFmtId="0" fontId="33" fillId="3" borderId="45" xfId="3" applyFont="1" applyFill="1" applyBorder="1" applyAlignment="1">
      <alignment horizontal="center"/>
    </xf>
    <xf numFmtId="9" fontId="34" fillId="3" borderId="46" xfId="3" applyNumberFormat="1" applyFont="1" applyFill="1" applyBorder="1"/>
    <xf numFmtId="9" fontId="34" fillId="3" borderId="9" xfId="3" applyNumberFormat="1" applyFont="1" applyFill="1" applyBorder="1"/>
    <xf numFmtId="9" fontId="34" fillId="3" borderId="11" xfId="3" applyNumberFormat="1" applyFont="1" applyFill="1" applyBorder="1"/>
    <xf numFmtId="0" fontId="12" fillId="3" borderId="9" xfId="3" applyFont="1" applyFill="1" applyBorder="1"/>
    <xf numFmtId="168" fontId="12" fillId="3" borderId="9" xfId="3" applyNumberFormat="1" applyFont="1" applyFill="1" applyBorder="1"/>
    <xf numFmtId="0" fontId="33" fillId="7" borderId="45" xfId="3" applyFont="1" applyFill="1" applyBorder="1" applyAlignment="1">
      <alignment horizontal="center" wrapText="1"/>
    </xf>
    <xf numFmtId="168" fontId="34" fillId="7" borderId="46" xfId="3" applyNumberFormat="1" applyFont="1" applyFill="1" applyBorder="1"/>
    <xf numFmtId="3" fontId="34" fillId="7" borderId="9" xfId="3" applyNumberFormat="1" applyFont="1" applyFill="1" applyBorder="1"/>
    <xf numFmtId="3" fontId="34" fillId="7" borderId="11" xfId="3" applyNumberFormat="1" applyFont="1" applyFill="1" applyBorder="1"/>
    <xf numFmtId="168" fontId="34" fillId="7" borderId="9" xfId="3" applyNumberFormat="1" applyFont="1" applyFill="1" applyBorder="1"/>
    <xf numFmtId="6" fontId="11" fillId="0" borderId="0" xfId="0" applyNumberFormat="1" applyFont="1" applyProtection="1"/>
    <xf numFmtId="0" fontId="40" fillId="0" borderId="0" xfId="3" applyFont="1"/>
    <xf numFmtId="0" fontId="40" fillId="6" borderId="45" xfId="3" applyFont="1" applyFill="1" applyBorder="1" applyAlignment="1">
      <alignment horizontal="center"/>
    </xf>
    <xf numFmtId="168" fontId="0" fillId="0" borderId="0" xfId="0" applyNumberFormat="1"/>
    <xf numFmtId="168" fontId="0" fillId="0" borderId="47" xfId="0" applyNumberFormat="1" applyBorder="1"/>
    <xf numFmtId="168" fontId="0" fillId="0" borderId="48" xfId="0" applyNumberFormat="1" applyBorder="1"/>
    <xf numFmtId="0" fontId="0" fillId="0" borderId="0" xfId="0" quotePrefix="1" applyProtection="1"/>
    <xf numFmtId="9" fontId="34" fillId="0" borderId="0" xfId="3" applyNumberFormat="1" applyFont="1" applyFill="1"/>
    <xf numFmtId="0" fontId="8" fillId="0" borderId="49" xfId="0" applyFont="1" applyBorder="1" applyProtection="1"/>
    <xf numFmtId="164" fontId="0" fillId="0" borderId="44" xfId="1" applyNumberFormat="1" applyFont="1" applyBorder="1" applyProtection="1"/>
    <xf numFmtId="6" fontId="0" fillId="0" borderId="0" xfId="0" applyNumberFormat="1" applyProtection="1"/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vertical="top" wrapText="1"/>
    </xf>
    <xf numFmtId="38" fontId="0" fillId="0" borderId="48" xfId="0" applyNumberFormat="1" applyFill="1" applyBorder="1"/>
    <xf numFmtId="0" fontId="8" fillId="0" borderId="0" xfId="0" applyFont="1" applyAlignment="1">
      <alignment horizontal="right"/>
    </xf>
    <xf numFmtId="0" fontId="41" fillId="0" borderId="0" xfId="0" applyFont="1"/>
    <xf numFmtId="38" fontId="41" fillId="0" borderId="0" xfId="0" applyNumberFormat="1" applyFont="1"/>
    <xf numFmtId="3" fontId="0" fillId="0" borderId="0" xfId="0" applyNumberFormat="1"/>
    <xf numFmtId="3" fontId="12" fillId="0" borderId="0" xfId="3" applyNumberFormat="1" applyFont="1"/>
    <xf numFmtId="0" fontId="33" fillId="0" borderId="0" xfId="3" applyFont="1" applyFill="1" applyAlignment="1">
      <alignment horizontal="center" wrapText="1"/>
    </xf>
    <xf numFmtId="0" fontId="1" fillId="0" borderId="0" xfId="3" applyFont="1" applyFill="1" applyAlignment="1">
      <alignment horizontal="center" wrapText="1"/>
    </xf>
    <xf numFmtId="0" fontId="39" fillId="0" borderId="0" xfId="3" applyFont="1" applyFill="1" applyAlignment="1">
      <alignment horizontal="center" wrapText="1"/>
    </xf>
    <xf numFmtId="0" fontId="40" fillId="0" borderId="0" xfId="3" applyFont="1" applyFill="1" applyAlignment="1">
      <alignment horizontal="center" wrapText="1"/>
    </xf>
    <xf numFmtId="0" fontId="34" fillId="0" borderId="0" xfId="3" applyFont="1" applyFill="1"/>
    <xf numFmtId="3" fontId="34" fillId="0" borderId="0" xfId="3" applyNumberFormat="1" applyFont="1" applyFill="1" applyBorder="1"/>
    <xf numFmtId="0" fontId="0" fillId="0" borderId="0" xfId="0" applyFill="1" applyBorder="1" applyProtection="1"/>
    <xf numFmtId="49" fontId="3" fillId="0" borderId="27" xfId="0" applyNumberFormat="1" applyFont="1" applyBorder="1" applyAlignment="1">
      <alignment horizontal="center" wrapText="1"/>
    </xf>
    <xf numFmtId="164" fontId="44" fillId="0" borderId="0" xfId="1" applyNumberFormat="1" applyFont="1" applyBorder="1" applyAlignment="1" applyProtection="1">
      <alignment horizontal="centerContinuous"/>
    </xf>
    <xf numFmtId="0" fontId="44" fillId="0" borderId="0" xfId="0" applyFont="1" applyBorder="1" applyAlignment="1" applyProtection="1">
      <alignment horizontal="center"/>
    </xf>
    <xf numFmtId="0" fontId="11" fillId="0" borderId="0" xfId="0" applyFont="1" applyBorder="1" applyProtection="1"/>
  </cellXfs>
  <cellStyles count="6">
    <cellStyle name="Comma" xfId="1" builtinId="3"/>
    <cellStyle name="Comma 2" xfId="2"/>
    <cellStyle name="Followed Hyperlink" xfId="5" builtinId="9" hidden="1"/>
    <cellStyle name="Hyperlink" xfId="4" builtinId="8" hidden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30"/>
  <sheetViews>
    <sheetView zoomScale="125" zoomScaleNormal="125" zoomScalePageLayoutView="125" workbookViewId="0">
      <selection activeCell="K28" sqref="K28"/>
    </sheetView>
  </sheetViews>
  <sheetFormatPr baseColWidth="10" defaultColWidth="8.83203125" defaultRowHeight="15" x14ac:dyDescent="0.2"/>
  <cols>
    <col min="2" max="2" width="5" customWidth="1"/>
    <col min="3" max="3" width="21.1640625" customWidth="1"/>
    <col min="4" max="4" width="11.33203125" style="137" customWidth="1"/>
    <col min="5" max="5" width="12.6640625" style="137" customWidth="1"/>
    <col min="6" max="6" width="42.5" customWidth="1"/>
    <col min="7" max="7" width="13.1640625" customWidth="1"/>
    <col min="8" max="8" width="14" customWidth="1"/>
    <col min="10" max="10" width="11" customWidth="1"/>
  </cols>
  <sheetData>
    <row r="2" spans="2:9" ht="16" x14ac:dyDescent="0.2">
      <c r="B2" s="294" t="s">
        <v>137</v>
      </c>
      <c r="C2" s="294" t="s">
        <v>138</v>
      </c>
      <c r="D2" s="295" t="s">
        <v>91</v>
      </c>
      <c r="E2" s="295" t="s">
        <v>139</v>
      </c>
      <c r="F2" s="294" t="s">
        <v>140</v>
      </c>
    </row>
    <row r="4" spans="2:9" x14ac:dyDescent="0.2">
      <c r="B4">
        <v>110</v>
      </c>
      <c r="C4" t="s">
        <v>141</v>
      </c>
      <c r="D4" s="137">
        <f>'Admin 110'!K29</f>
        <v>47652.77</v>
      </c>
      <c r="E4" s="137">
        <f>'Admin 110'!L29</f>
        <v>35604.786</v>
      </c>
      <c r="F4" t="s">
        <v>142</v>
      </c>
      <c r="G4" s="137">
        <f>D12+D13+D14+D17+D21-8000</f>
        <v>-45652.77</v>
      </c>
      <c r="H4" s="137">
        <f>E12+E13+E14+E17+E21-8000</f>
        <v>-33604.786</v>
      </c>
      <c r="I4" t="s">
        <v>150</v>
      </c>
    </row>
    <row r="5" spans="2:9" x14ac:dyDescent="0.2">
      <c r="B5">
        <v>120</v>
      </c>
      <c r="C5" t="s">
        <v>143</v>
      </c>
      <c r="D5" s="137">
        <f>'Development 120'!K29</f>
        <v>6100</v>
      </c>
      <c r="E5" s="137">
        <f>'Development 120'!L29</f>
        <v>2500</v>
      </c>
      <c r="F5" t="s">
        <v>180</v>
      </c>
    </row>
    <row r="6" spans="2:9" x14ac:dyDescent="0.2">
      <c r="B6">
        <v>130</v>
      </c>
      <c r="C6" t="s">
        <v>145</v>
      </c>
      <c r="G6" s="137">
        <f>D22+D26-7500-500</f>
        <v>-41218</v>
      </c>
      <c r="H6" s="137">
        <f>E26+E22-7500-500</f>
        <v>-16000</v>
      </c>
      <c r="I6" t="s">
        <v>169</v>
      </c>
    </row>
    <row r="7" spans="2:9" x14ac:dyDescent="0.2">
      <c r="B7">
        <v>140</v>
      </c>
      <c r="C7" t="s">
        <v>146</v>
      </c>
      <c r="D7" s="137">
        <f>'Section Meeting 140'!K29</f>
        <v>1200</v>
      </c>
      <c r="E7" s="137">
        <f>'Section Meeting 140'!L29</f>
        <v>1200</v>
      </c>
    </row>
    <row r="8" spans="2:9" x14ac:dyDescent="0.2">
      <c r="B8">
        <v>150</v>
      </c>
      <c r="C8" t="s">
        <v>147</v>
      </c>
      <c r="D8" s="137">
        <f>'Visitation 150'!K29</f>
        <v>42218</v>
      </c>
      <c r="E8" s="137">
        <f>'Visitation 150'!L29</f>
        <v>24500</v>
      </c>
      <c r="F8" t="s">
        <v>170</v>
      </c>
      <c r="G8" s="137">
        <f>5000+200+1000+500+8000</f>
        <v>14700</v>
      </c>
      <c r="H8" s="137">
        <f>5000+200+1000+500+8000</f>
        <v>14700</v>
      </c>
      <c r="I8" t="s">
        <v>174</v>
      </c>
    </row>
    <row r="9" spans="2:9" x14ac:dyDescent="0.2">
      <c r="B9">
        <v>160</v>
      </c>
      <c r="C9" t="s">
        <v>148</v>
      </c>
      <c r="D9" s="137">
        <f xml:space="preserve"> 'Connections 160'!K29</f>
        <v>6500</v>
      </c>
      <c r="E9" s="137">
        <f xml:space="preserve"> 'Connections 160'!L29</f>
        <v>6500</v>
      </c>
      <c r="F9" t="s">
        <v>179</v>
      </c>
      <c r="G9" s="137">
        <f>D20+D16</f>
        <v>-14699.52</v>
      </c>
      <c r="H9" s="137">
        <f>E20+E16</f>
        <v>-14700</v>
      </c>
      <c r="I9" t="s">
        <v>175</v>
      </c>
    </row>
    <row r="10" spans="2:9" x14ac:dyDescent="0.2">
      <c r="D10" s="137">
        <f>SUM(D4:D9)</f>
        <v>103670.76999999999</v>
      </c>
      <c r="E10" s="137">
        <f>SUM(E4:E9)</f>
        <v>70304.785999999993</v>
      </c>
    </row>
    <row r="11" spans="2:9" x14ac:dyDescent="0.2">
      <c r="G11" s="296">
        <f>2000+1500+1000+1000+1500</f>
        <v>7000</v>
      </c>
      <c r="H11" s="296">
        <f>1500+2000+1000+1000+1500</f>
        <v>7000</v>
      </c>
      <c r="I11" t="s">
        <v>184</v>
      </c>
    </row>
    <row r="12" spans="2:9" x14ac:dyDescent="0.2">
      <c r="B12">
        <v>210</v>
      </c>
      <c r="C12" t="s">
        <v>149</v>
      </c>
      <c r="D12" s="137">
        <f>'Elkinton 210'!K29</f>
        <v>-3412.2</v>
      </c>
      <c r="E12" s="137">
        <f>'Elkinton 210'!L29</f>
        <v>-3400</v>
      </c>
      <c r="F12" t="s">
        <v>150</v>
      </c>
    </row>
    <row r="13" spans="2:9" x14ac:dyDescent="0.2">
      <c r="B13">
        <v>220</v>
      </c>
      <c r="C13" t="s">
        <v>151</v>
      </c>
      <c r="D13" s="137">
        <f>'Founders Fund 220'!K29</f>
        <v>-15970.48</v>
      </c>
      <c r="E13" s="137">
        <f>'Founders Fund 220'!L29</f>
        <v>-3900</v>
      </c>
      <c r="F13" t="s">
        <v>150</v>
      </c>
    </row>
    <row r="14" spans="2:9" x14ac:dyDescent="0.2">
      <c r="B14">
        <v>230</v>
      </c>
      <c r="C14" t="s">
        <v>152</v>
      </c>
      <c r="D14" s="137">
        <f>'Stewardship 230'!K29</f>
        <v>-17529.786</v>
      </c>
      <c r="E14" s="137">
        <f>'Stewardship 230'!L29</f>
        <v>-17529.786</v>
      </c>
      <c r="F14" t="s">
        <v>150</v>
      </c>
    </row>
    <row r="15" spans="2:9" x14ac:dyDescent="0.2">
      <c r="B15">
        <v>240</v>
      </c>
      <c r="C15" t="s">
        <v>153</v>
      </c>
      <c r="F15" t="s">
        <v>168</v>
      </c>
    </row>
    <row r="16" spans="2:9" x14ac:dyDescent="0.2">
      <c r="B16">
        <v>250</v>
      </c>
      <c r="C16" t="s">
        <v>154</v>
      </c>
      <c r="D16" s="137">
        <f>'Committee Travel 250'!K29</f>
        <v>-947.52</v>
      </c>
      <c r="E16" s="137">
        <f>'Committee Travel 250'!L29</f>
        <v>-900</v>
      </c>
      <c r="F16" t="s">
        <v>172</v>
      </c>
    </row>
    <row r="17" spans="2:6" x14ac:dyDescent="0.2">
      <c r="B17">
        <v>270</v>
      </c>
      <c r="C17" t="s">
        <v>155</v>
      </c>
      <c r="D17" s="137">
        <f>'Green Fund 270'!K29</f>
        <v>-178.56</v>
      </c>
      <c r="E17" s="137">
        <f>'Green Fund 270'!L29</f>
        <v>-200</v>
      </c>
      <c r="F17" t="s">
        <v>150</v>
      </c>
    </row>
    <row r="18" spans="2:6" x14ac:dyDescent="0.2">
      <c r="D18" s="137">
        <f>SUM(D12:D17)</f>
        <v>-38038.545999999995</v>
      </c>
      <c r="E18" s="137">
        <f>SUM(E12:E17)</f>
        <v>-25929.786</v>
      </c>
    </row>
    <row r="20" spans="2:6" x14ac:dyDescent="0.2">
      <c r="B20">
        <v>310</v>
      </c>
      <c r="C20" t="s">
        <v>156</v>
      </c>
      <c r="D20" s="137">
        <f>'Committee Travel 310'!K29</f>
        <v>-13752</v>
      </c>
      <c r="E20" s="137">
        <f>'Committee Travel 310'!L29</f>
        <v>-13800</v>
      </c>
      <c r="F20" t="s">
        <v>157</v>
      </c>
    </row>
    <row r="21" spans="2:6" x14ac:dyDescent="0.2">
      <c r="B21">
        <v>320</v>
      </c>
      <c r="C21" t="s">
        <v>158</v>
      </c>
      <c r="D21" s="137">
        <f>'Bogert 320'!K29</f>
        <v>-561.74400000000003</v>
      </c>
      <c r="E21" s="137">
        <f>'Bogert 320'!L29</f>
        <v>-575</v>
      </c>
      <c r="F21" t="s">
        <v>150</v>
      </c>
    </row>
    <row r="22" spans="2:6" x14ac:dyDescent="0.2">
      <c r="B22">
        <v>330</v>
      </c>
      <c r="C22" t="s">
        <v>159</v>
      </c>
      <c r="D22" s="137">
        <f>'QYP 330'!K29</f>
        <v>-25000</v>
      </c>
      <c r="E22" s="137">
        <f>'QYP 330'!L29</f>
        <v>0</v>
      </c>
      <c r="F22" t="s">
        <v>169</v>
      </c>
    </row>
    <row r="23" spans="2:6" x14ac:dyDescent="0.2">
      <c r="B23">
        <v>340</v>
      </c>
      <c r="C23" t="s">
        <v>160</v>
      </c>
      <c r="F23" t="s">
        <v>161</v>
      </c>
    </row>
    <row r="24" spans="2:6" x14ac:dyDescent="0.2">
      <c r="B24">
        <v>340</v>
      </c>
      <c r="C24" t="s">
        <v>162</v>
      </c>
      <c r="F24" t="s">
        <v>163</v>
      </c>
    </row>
    <row r="25" spans="2:6" x14ac:dyDescent="0.2">
      <c r="B25">
        <v>370</v>
      </c>
      <c r="C25" t="s">
        <v>164</v>
      </c>
      <c r="F25" t="s">
        <v>165</v>
      </c>
    </row>
    <row r="26" spans="2:6" x14ac:dyDescent="0.2">
      <c r="B26">
        <v>380</v>
      </c>
      <c r="C26" t="s">
        <v>166</v>
      </c>
      <c r="D26" s="137">
        <f>'Campaign 380'!K29</f>
        <v>-8218</v>
      </c>
      <c r="E26" s="137">
        <f>'Campaign 380'!L29</f>
        <v>-8000</v>
      </c>
      <c r="F26" t="s">
        <v>167</v>
      </c>
    </row>
    <row r="27" spans="2:6" x14ac:dyDescent="0.2">
      <c r="B27">
        <v>390</v>
      </c>
      <c r="C27" t="s">
        <v>144</v>
      </c>
      <c r="D27" s="137">
        <f>'Travel Support 390'!K29</f>
        <v>-18100</v>
      </c>
      <c r="E27" s="137">
        <f>'Travel Support 390'!L29</f>
        <v>-22000</v>
      </c>
      <c r="F27" t="s">
        <v>173</v>
      </c>
    </row>
    <row r="28" spans="2:6" x14ac:dyDescent="0.2">
      <c r="D28" s="137">
        <f>SUM(D20:D27)</f>
        <v>-65631.744000000006</v>
      </c>
      <c r="E28" s="137">
        <f>SUM(E20:E27)</f>
        <v>-44375</v>
      </c>
    </row>
    <row r="30" spans="2:6" x14ac:dyDescent="0.2">
      <c r="C30" s="293" t="s">
        <v>185</v>
      </c>
      <c r="D30" s="292">
        <f>SUM(D18,D28)</f>
        <v>-103670.29000000001</v>
      </c>
      <c r="E30" s="292">
        <f>SUM(E18,E28)</f>
        <v>-70304.785999999993</v>
      </c>
    </row>
  </sheetData>
  <pageMargins left="0.7" right="0.7" top="0.75" bottom="0.75" header="0.3" footer="0.3"/>
  <pageSetup scale="82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activeCell="N33" sqref="N33"/>
      <selection pane="topRight" activeCell="N33" sqref="N33"/>
      <selection pane="bottomLeft" activeCell="N33" sqref="N33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36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76</v>
      </c>
      <c r="I4" s="119">
        <v>99856</v>
      </c>
      <c r="J4" s="140">
        <f>I40</f>
        <v>94035</v>
      </c>
      <c r="K4" s="140">
        <f>J40</f>
        <v>94807</v>
      </c>
      <c r="L4" s="140">
        <f>K40</f>
        <v>94807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v>4322</v>
      </c>
      <c r="G13" s="13">
        <v>3765</v>
      </c>
      <c r="H13" s="62"/>
      <c r="I13" s="97">
        <v>3842</v>
      </c>
      <c r="J13" s="47">
        <v>3758</v>
      </c>
      <c r="K13" s="13">
        <v>3412.2</v>
      </c>
      <c r="L13" s="13">
        <v>3400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4322</v>
      </c>
      <c r="G14" s="8">
        <f>SUM(G9:G13)</f>
        <v>3765</v>
      </c>
      <c r="H14" s="62"/>
      <c r="I14" s="8">
        <f>SUM(I9:I13)</f>
        <v>3842</v>
      </c>
      <c r="J14" s="49">
        <f>SUM(J9:J13)</f>
        <v>3758</v>
      </c>
      <c r="K14" s="8">
        <f t="shared" ref="K14:L14" si="0">SUM(K9:K13)</f>
        <v>3412.2</v>
      </c>
      <c r="L14" s="8">
        <f t="shared" si="0"/>
        <v>3400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3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3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 t="shared" ref="K25:L25" si="1">SUM(K16:K24)</f>
        <v>0</v>
      </c>
      <c r="L25" s="8">
        <f t="shared" si="1"/>
        <v>0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4322</v>
      </c>
      <c r="G26" s="10">
        <f t="shared" si="2"/>
        <v>3765</v>
      </c>
      <c r="H26" s="70"/>
      <c r="I26" s="10">
        <f t="shared" ref="I26" si="3">I14-I25</f>
        <v>3842</v>
      </c>
      <c r="J26" s="50">
        <f t="shared" ref="J26:L26" si="4">J14-J25</f>
        <v>3758</v>
      </c>
      <c r="K26" s="10">
        <f t="shared" si="4"/>
        <v>3412.2</v>
      </c>
      <c r="L26" s="10">
        <f t="shared" si="4"/>
        <v>3400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-3842</v>
      </c>
      <c r="J29" s="48">
        <v>-5000</v>
      </c>
      <c r="K29" s="35">
        <f>-K13</f>
        <v>-3412.2</v>
      </c>
      <c r="L29" s="35">
        <f>-L13</f>
        <v>-3400</v>
      </c>
      <c r="M29" s="2" t="s">
        <v>126</v>
      </c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101">
        <v>-5821</v>
      </c>
      <c r="J31" s="56">
        <v>2014</v>
      </c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I32" s="47">
        <f>SUM(I28:I31)</f>
        <v>-9663</v>
      </c>
      <c r="J32" s="47">
        <f t="shared" ref="J32:L32" si="6">SUM(J28:J31)</f>
        <v>-2986</v>
      </c>
      <c r="K32" s="13">
        <f t="shared" si="6"/>
        <v>-3412.2</v>
      </c>
      <c r="L32" s="13">
        <f t="shared" si="6"/>
        <v>-3400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-9663</v>
      </c>
      <c r="J36" s="51">
        <f t="shared" ref="J36:L36" si="12">J32-J35</f>
        <v>-2986</v>
      </c>
      <c r="K36" s="14">
        <f t="shared" si="12"/>
        <v>-3412.2</v>
      </c>
      <c r="L36" s="14">
        <f t="shared" si="12"/>
        <v>-3400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4322</v>
      </c>
      <c r="G37" s="16">
        <f t="shared" si="13"/>
        <v>3765</v>
      </c>
      <c r="I37" s="52">
        <f t="shared" ref="I37" si="14">I36+I26</f>
        <v>-5821</v>
      </c>
      <c r="J37" s="52">
        <f t="shared" ref="J37:L37" si="15">J36+J26</f>
        <v>772</v>
      </c>
      <c r="K37" s="16">
        <f t="shared" si="15"/>
        <v>0</v>
      </c>
      <c r="L37" s="16">
        <f t="shared" si="15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94035</v>
      </c>
      <c r="J40" s="120">
        <f>J4+J37</f>
        <v>94807</v>
      </c>
      <c r="K40" s="120">
        <f>K4+K37</f>
        <v>94807</v>
      </c>
      <c r="L40" s="120">
        <f t="shared" ref="L40" si="16">L4+L37</f>
        <v>94807</v>
      </c>
    </row>
  </sheetData>
  <mergeCells count="1">
    <mergeCell ref="F3:G3"/>
  </mergeCells>
  <pageMargins left="0.25" right="0.25" top="0.75" bottom="0.75" header="0.3" footer="0.3"/>
  <pageSetup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activeCell="N33" sqref="N33"/>
      <selection pane="topRight" activeCell="N33" sqref="N33"/>
      <selection pane="bottomLeft" activeCell="N33" sqref="N33"/>
      <selection pane="bottomRight" activeCell="P29" sqref="P29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66"/>
      <c r="F2" s="115" t="s">
        <v>194</v>
      </c>
      <c r="H2" s="59"/>
      <c r="I2" s="19"/>
    </row>
    <row r="3" spans="1:12" ht="18" x14ac:dyDescent="0.2">
      <c r="A3" s="1"/>
      <c r="B3" s="1"/>
      <c r="C3" s="1"/>
      <c r="D3" s="1"/>
      <c r="E3" s="78" t="s">
        <v>35</v>
      </c>
      <c r="F3" s="83"/>
      <c r="G3" s="21"/>
      <c r="H3" s="59"/>
      <c r="I3" s="135" t="s">
        <v>74</v>
      </c>
      <c r="J3" s="136" t="s">
        <v>75</v>
      </c>
      <c r="K3" s="249" t="s">
        <v>91</v>
      </c>
      <c r="L3" s="135" t="s">
        <v>93</v>
      </c>
    </row>
    <row r="4" spans="1:12" ht="18" x14ac:dyDescent="0.2">
      <c r="A4" s="1"/>
      <c r="B4" s="1"/>
      <c r="C4" s="1"/>
      <c r="D4" s="1"/>
      <c r="E4" s="78"/>
      <c r="F4" s="83"/>
      <c r="G4" s="21"/>
      <c r="H4" s="118" t="s">
        <v>112</v>
      </c>
      <c r="I4" s="122">
        <v>141161</v>
      </c>
      <c r="J4" s="122">
        <f>I40</f>
        <v>101832</v>
      </c>
      <c r="K4" s="140">
        <f>J40</f>
        <v>109980</v>
      </c>
      <c r="L4" s="140">
        <f>K40-10000</f>
        <v>87903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21"/>
      <c r="J5" s="60"/>
      <c r="K5" s="21"/>
      <c r="L5" s="21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H6" s="2"/>
      <c r="I6" s="45" t="s">
        <v>26</v>
      </c>
      <c r="J6" s="61" t="s">
        <v>187</v>
      </c>
      <c r="K6" s="45" t="s">
        <v>17</v>
      </c>
      <c r="L6" s="45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>
        <v>500</v>
      </c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96">
        <v>50</v>
      </c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v>7273</v>
      </c>
      <c r="G13" s="13">
        <v>5361</v>
      </c>
      <c r="H13" s="62"/>
      <c r="I13" s="97">
        <v>5052</v>
      </c>
      <c r="J13" s="47">
        <v>5233</v>
      </c>
      <c r="K13" s="13">
        <v>3893.48</v>
      </c>
      <c r="L13" s="13">
        <v>3900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7273</v>
      </c>
      <c r="G14" s="8">
        <f>SUM(G9:G13)</f>
        <v>5361</v>
      </c>
      <c r="H14" s="62"/>
      <c r="I14" s="8">
        <f>SUM(I9:I13)</f>
        <v>5102</v>
      </c>
      <c r="J14" s="49">
        <f>SUM(J9:J13)</f>
        <v>5733</v>
      </c>
      <c r="K14" s="8">
        <f t="shared" ref="K14:L14" si="0">SUM(K9:K13)</f>
        <v>3893.48</v>
      </c>
      <c r="L14" s="8">
        <f t="shared" si="0"/>
        <v>3900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 t="shared" ref="K25:L25" si="1">SUM(K16:K24)</f>
        <v>0</v>
      </c>
      <c r="L25" s="8">
        <f t="shared" si="1"/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7273</v>
      </c>
      <c r="G26" s="10">
        <f t="shared" si="2"/>
        <v>5361</v>
      </c>
      <c r="H26" s="70"/>
      <c r="I26" s="10">
        <f t="shared" ref="I26" si="3">I14-I25</f>
        <v>5102</v>
      </c>
      <c r="J26" s="50">
        <f t="shared" ref="J26:L26" si="4">J14-J25</f>
        <v>5733</v>
      </c>
      <c r="K26" s="10">
        <f t="shared" si="4"/>
        <v>3893.48</v>
      </c>
      <c r="L26" s="10">
        <f t="shared" si="4"/>
        <v>3900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96">
        <v>-36048</v>
      </c>
      <c r="J29" s="48"/>
      <c r="K29" s="35">
        <f>-K13-12077</f>
        <v>-15970.48</v>
      </c>
      <c r="L29" s="35">
        <f>-L13</f>
        <v>-3900</v>
      </c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101">
        <v>-8383</v>
      </c>
      <c r="J31" s="56">
        <v>2415</v>
      </c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I32" s="47">
        <f>SUM(I28:I31)</f>
        <v>-44431</v>
      </c>
      <c r="J32" s="47">
        <f t="shared" ref="J32:L32" si="6">SUM(J28:J31)</f>
        <v>2415</v>
      </c>
      <c r="K32" s="13">
        <f t="shared" si="6"/>
        <v>-15970.48</v>
      </c>
      <c r="L32" s="13">
        <f t="shared" si="6"/>
        <v>-3900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-44431</v>
      </c>
      <c r="J36" s="51">
        <f t="shared" ref="J36:L36" si="12">J32-J35</f>
        <v>2415</v>
      </c>
      <c r="K36" s="14">
        <f t="shared" si="12"/>
        <v>-15970.48</v>
      </c>
      <c r="L36" s="14">
        <f t="shared" si="12"/>
        <v>-3900</v>
      </c>
    </row>
    <row r="37" spans="1:12" s="4" customFormat="1" ht="33.75" customHeight="1" thickBot="1" x14ac:dyDescent="0.25">
      <c r="A37" s="42" t="s">
        <v>3</v>
      </c>
      <c r="B37" s="1"/>
      <c r="C37" s="1"/>
      <c r="D37" s="1"/>
      <c r="E37" s="31"/>
      <c r="F37" s="15">
        <f t="shared" ref="F37:G37" si="13">F36+F26</f>
        <v>7273</v>
      </c>
      <c r="G37" s="16">
        <f t="shared" si="13"/>
        <v>5361</v>
      </c>
      <c r="H37" s="2"/>
      <c r="I37" s="52">
        <f t="shared" ref="I37" si="14">I36+I26</f>
        <v>-39329</v>
      </c>
      <c r="J37" s="52">
        <f t="shared" ref="J37:L37" si="15">J36+J26</f>
        <v>8148</v>
      </c>
      <c r="K37" s="16">
        <f t="shared" si="15"/>
        <v>-12077</v>
      </c>
      <c r="L37" s="16">
        <f t="shared" si="15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101832</v>
      </c>
      <c r="J40" s="120">
        <f>J4+J37</f>
        <v>109980</v>
      </c>
      <c r="K40" s="120">
        <f>K4+K37</f>
        <v>97903</v>
      </c>
      <c r="L40" s="120">
        <f>L4+L37</f>
        <v>87903</v>
      </c>
    </row>
  </sheetData>
  <pageMargins left="0.25" right="0.25" top="0.75" bottom="0.75" header="0.3" footer="0.3"/>
  <pageSetup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34</v>
      </c>
      <c r="F3" s="291"/>
      <c r="G3" s="291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4"/>
      <c r="G4" s="114"/>
      <c r="H4" s="118" t="s">
        <v>112</v>
      </c>
      <c r="I4" s="119">
        <v>64559</v>
      </c>
      <c r="J4" s="134">
        <f>I40</f>
        <v>69662</v>
      </c>
      <c r="K4" s="140">
        <f>J40</f>
        <v>52642</v>
      </c>
      <c r="L4" s="140">
        <f>K40</f>
        <v>35112.214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96">
        <v>22727</v>
      </c>
      <c r="J9" s="47"/>
      <c r="K9" s="35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0</v>
      </c>
      <c r="H14" s="62"/>
      <c r="I14" s="8">
        <f>SUM(I9:I13)</f>
        <v>22727</v>
      </c>
      <c r="J14" s="49">
        <f>SUM(J9:J13)</f>
        <v>0</v>
      </c>
      <c r="K14" s="8">
        <f>SUM(K9:K13)</f>
        <v>0</v>
      </c>
      <c r="L14" s="8">
        <f>SUM(L9:L13)</f>
        <v>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3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3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>F14-F25</f>
        <v>0</v>
      </c>
      <c r="G26" s="10">
        <f>G14-G25</f>
        <v>0</v>
      </c>
      <c r="H26" s="70"/>
      <c r="I26" s="10">
        <f>I14-I25</f>
        <v>22727</v>
      </c>
      <c r="J26" s="50">
        <f>J14-J25</f>
        <v>0</v>
      </c>
      <c r="K26" s="50">
        <f>K14-K25</f>
        <v>0</v>
      </c>
      <c r="L26" s="10">
        <f>L14-L25</f>
        <v>0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>
        <v>15000</v>
      </c>
      <c r="G29" s="13">
        <v>17000</v>
      </c>
      <c r="H29" s="62"/>
      <c r="I29" s="96">
        <v>-18180</v>
      </c>
      <c r="J29" s="48">
        <v>-17000</v>
      </c>
      <c r="K29" s="35">
        <f>-J40*0.333</f>
        <v>-17529.786</v>
      </c>
      <c r="L29" s="35">
        <f>-J40*0.333</f>
        <v>-17529.786</v>
      </c>
      <c r="M29" s="2" t="s">
        <v>118</v>
      </c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101">
        <v>556</v>
      </c>
      <c r="J31" s="56">
        <v>-20</v>
      </c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0">SUM(F28:F31)</f>
        <v>15000</v>
      </c>
      <c r="G32" s="13">
        <f t="shared" si="0"/>
        <v>17000</v>
      </c>
      <c r="I32" s="47">
        <f>SUM(I28:I31)</f>
        <v>-17624</v>
      </c>
      <c r="J32" s="47">
        <f t="shared" ref="J32:K32" si="1">SUM(J28:J31)</f>
        <v>-17020</v>
      </c>
      <c r="K32" s="13">
        <f t="shared" si="1"/>
        <v>-17529.786</v>
      </c>
      <c r="L32" s="13">
        <f t="shared" ref="L32" si="2">SUM(L28:L31)</f>
        <v>-17529.786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3">F34</f>
        <v>0</v>
      </c>
      <c r="G35" s="14">
        <f t="shared" si="3"/>
        <v>0</v>
      </c>
      <c r="I35" s="51">
        <f t="shared" ref="I35" si="4">I34</f>
        <v>0</v>
      </c>
      <c r="J35" s="51">
        <f t="shared" ref="J35:K35" si="5">J34</f>
        <v>0</v>
      </c>
      <c r="K35" s="14">
        <f t="shared" si="5"/>
        <v>0</v>
      </c>
      <c r="L35" s="14">
        <f t="shared" ref="L35" si="6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7">F32-F35</f>
        <v>15000</v>
      </c>
      <c r="G36" s="14">
        <f t="shared" si="7"/>
        <v>17000</v>
      </c>
      <c r="I36" s="51">
        <f t="shared" ref="I36" si="8">I32-I35</f>
        <v>-17624</v>
      </c>
      <c r="J36" s="51">
        <f t="shared" ref="J36:K36" si="9">J32-J35</f>
        <v>-17020</v>
      </c>
      <c r="K36" s="14">
        <f t="shared" si="9"/>
        <v>-17529.786</v>
      </c>
      <c r="L36" s="14">
        <f t="shared" ref="L36" si="10">L32-L35</f>
        <v>-17529.786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1">F36+F26</f>
        <v>15000</v>
      </c>
      <c r="G37" s="16">
        <f t="shared" si="11"/>
        <v>17000</v>
      </c>
      <c r="I37" s="52">
        <f t="shared" ref="I37" si="12">I36+I26</f>
        <v>5103</v>
      </c>
      <c r="J37" s="52">
        <f t="shared" ref="J37:K37" si="13">J36+J26</f>
        <v>-17020</v>
      </c>
      <c r="K37" s="16">
        <f t="shared" si="13"/>
        <v>-17529.786</v>
      </c>
      <c r="L37" s="16">
        <f t="shared" ref="L37" si="14">L36+L26</f>
        <v>-17529.786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69662</v>
      </c>
      <c r="J40" s="120">
        <f>J4+J37</f>
        <v>52642</v>
      </c>
      <c r="K40" s="120">
        <f>K4+K37</f>
        <v>35112.214</v>
      </c>
      <c r="L40" s="120">
        <f>L4+L37</f>
        <v>17582.428</v>
      </c>
    </row>
  </sheetData>
  <mergeCells count="1">
    <mergeCell ref="F3:G3"/>
  </mergeCells>
  <pageMargins left="0.25" right="0.25" top="0.75" bottom="0.75" header="0.3" footer="0.3"/>
  <pageSetup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P31" sqref="P31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33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69440</v>
      </c>
      <c r="J4" s="134">
        <f>I40</f>
        <v>56990</v>
      </c>
      <c r="K4" s="140">
        <f>J40</f>
        <v>49733</v>
      </c>
      <c r="L4" s="140">
        <f>K40</f>
        <v>49733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21"/>
      <c r="J5" s="21"/>
      <c r="K5" s="21"/>
      <c r="L5" s="21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45" t="s">
        <v>26</v>
      </c>
      <c r="J6" s="61" t="s">
        <v>187</v>
      </c>
      <c r="K6" s="45" t="s">
        <v>17</v>
      </c>
      <c r="L6" s="45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v>2817</v>
      </c>
      <c r="G13" s="13">
        <v>2418</v>
      </c>
      <c r="H13" s="62"/>
      <c r="I13" s="97">
        <v>2918</v>
      </c>
      <c r="J13" s="47">
        <v>2401</v>
      </c>
      <c r="K13" s="13">
        <v>1915.72</v>
      </c>
      <c r="L13" s="13">
        <v>1800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2817</v>
      </c>
      <c r="G14" s="8">
        <f>SUM(G9:G13)</f>
        <v>2418</v>
      </c>
      <c r="H14" s="62"/>
      <c r="I14" s="8">
        <f>SUM(I9:I13)</f>
        <v>2918</v>
      </c>
      <c r="J14" s="49">
        <f>SUM(J9:J13)</f>
        <v>2401</v>
      </c>
      <c r="K14" s="8">
        <f t="shared" ref="K14:L14" si="0">SUM(K9:K13)</f>
        <v>1915.72</v>
      </c>
      <c r="L14" s="8">
        <f t="shared" si="0"/>
        <v>1800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3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>
        <v>814</v>
      </c>
      <c r="K19" s="35"/>
      <c r="L19" s="35"/>
    </row>
    <row r="20" spans="1:13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3" x14ac:dyDescent="0.2">
      <c r="A21" s="1"/>
      <c r="B21" s="1"/>
      <c r="C21" s="1"/>
      <c r="D21" s="1"/>
      <c r="E21" s="43" t="s">
        <v>66</v>
      </c>
      <c r="F21" s="12">
        <v>2817</v>
      </c>
      <c r="G21" s="13">
        <v>2418</v>
      </c>
      <c r="H21" s="62"/>
      <c r="I21" s="13">
        <v>1000</v>
      </c>
      <c r="J21" s="48"/>
      <c r="K21" s="35">
        <f>K14</f>
        <v>1915.72</v>
      </c>
      <c r="L21" s="35">
        <f>L14</f>
        <v>1800</v>
      </c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2817</v>
      </c>
      <c r="G25" s="8">
        <f>SUM(G16:G24)</f>
        <v>2418</v>
      </c>
      <c r="H25" s="62"/>
      <c r="I25" s="13">
        <f>SUM(I16:I24)</f>
        <v>1000</v>
      </c>
      <c r="J25" s="49">
        <f>SUM(J16:J24)</f>
        <v>814</v>
      </c>
      <c r="K25" s="8">
        <f t="shared" ref="K25:L25" si="1">SUM(K16:K24)</f>
        <v>1915.72</v>
      </c>
      <c r="L25" s="8">
        <f t="shared" si="1"/>
        <v>1800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0</v>
      </c>
      <c r="G26" s="10">
        <f t="shared" si="2"/>
        <v>0</v>
      </c>
      <c r="H26" s="70"/>
      <c r="I26" s="10">
        <f t="shared" ref="I26" si="3">I14-I25</f>
        <v>1918</v>
      </c>
      <c r="J26" s="50">
        <f t="shared" ref="J26:L26" si="4">J14-J25</f>
        <v>1587</v>
      </c>
      <c r="K26" s="10">
        <f t="shared" si="4"/>
        <v>0</v>
      </c>
      <c r="L26" s="10">
        <f t="shared" si="4"/>
        <v>0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-10000</v>
      </c>
      <c r="J29" s="48">
        <v>-10000</v>
      </c>
      <c r="K29" s="35"/>
      <c r="L29" s="35"/>
      <c r="M29" s="2" t="s">
        <v>195</v>
      </c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101">
        <v>-4368</v>
      </c>
      <c r="J31" s="56">
        <v>1156</v>
      </c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I32" s="47">
        <f>SUM(I28:I31)</f>
        <v>-14368</v>
      </c>
      <c r="J32" s="47">
        <f t="shared" ref="J32:L32" si="6">SUM(J28:J31)</f>
        <v>-8844</v>
      </c>
      <c r="K32" s="13">
        <f t="shared" si="6"/>
        <v>0</v>
      </c>
      <c r="L32" s="13">
        <f t="shared" si="6"/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-14368</v>
      </c>
      <c r="J36" s="51">
        <f t="shared" ref="J36:L36" si="12">J32-J35</f>
        <v>-8844</v>
      </c>
      <c r="K36" s="14">
        <f t="shared" si="12"/>
        <v>0</v>
      </c>
      <c r="L36" s="14">
        <f t="shared" si="12"/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0</v>
      </c>
      <c r="G37" s="16">
        <f t="shared" si="13"/>
        <v>0</v>
      </c>
      <c r="I37" s="52">
        <f t="shared" ref="I37" si="14">I36+I26</f>
        <v>-12450</v>
      </c>
      <c r="J37" s="52">
        <f t="shared" ref="J37:L37" si="15">J36+J26</f>
        <v>-7257</v>
      </c>
      <c r="K37" s="16">
        <f t="shared" si="15"/>
        <v>0</v>
      </c>
      <c r="L37" s="16">
        <f t="shared" si="15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56990</v>
      </c>
      <c r="J40" s="120">
        <f>J4+J37</f>
        <v>49733</v>
      </c>
      <c r="K40" s="120">
        <f t="shared" ref="K40:L40" si="16">K4+K37</f>
        <v>49733</v>
      </c>
      <c r="L40" s="120">
        <f t="shared" si="16"/>
        <v>49733</v>
      </c>
    </row>
  </sheetData>
  <mergeCells count="1">
    <mergeCell ref="F3:G3"/>
  </mergeCells>
  <pageMargins left="0.25" right="0.25" top="0.75" bottom="0.75" header="0.3" footer="0.3"/>
  <pageSetup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16" sqref="L1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32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25000</v>
      </c>
      <c r="J4" s="134">
        <f>I40</f>
        <v>25129</v>
      </c>
      <c r="K4" s="140">
        <f>J40</f>
        <v>24139.3</v>
      </c>
      <c r="L4" s="140">
        <f>K40</f>
        <v>24139.3</v>
      </c>
    </row>
    <row r="5" spans="1:12" ht="16" thickBot="1" x14ac:dyDescent="0.25">
      <c r="A5" s="1"/>
      <c r="B5" s="1"/>
      <c r="C5" s="1"/>
      <c r="D5" s="1"/>
      <c r="E5" s="66"/>
      <c r="F5" s="74"/>
      <c r="G5" s="74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v>0</v>
      </c>
      <c r="G13" s="13">
        <v>150</v>
      </c>
      <c r="H13" s="62"/>
      <c r="I13" s="13">
        <v>129</v>
      </c>
      <c r="J13" s="47"/>
      <c r="K13" s="13">
        <v>947.52</v>
      </c>
      <c r="L13" s="13">
        <v>900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150</v>
      </c>
      <c r="H14" s="62"/>
      <c r="I14" s="8">
        <f>SUM(I9:I13)</f>
        <v>129</v>
      </c>
      <c r="J14" s="49">
        <f>SUM(J9:J13)</f>
        <v>0</v>
      </c>
      <c r="K14" s="8">
        <f t="shared" ref="K14:L14" si="0">SUM(K9:K13)</f>
        <v>947.52</v>
      </c>
      <c r="L14" s="8">
        <f t="shared" si="0"/>
        <v>900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4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4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>
        <v>989.7</v>
      </c>
      <c r="K18" s="35"/>
      <c r="L18" s="35"/>
    </row>
    <row r="19" spans="1:14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4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4" x14ac:dyDescent="0.2">
      <c r="A21" s="1"/>
      <c r="B21" s="1"/>
      <c r="C21" s="1"/>
      <c r="D21" s="1"/>
      <c r="E21" s="43" t="s">
        <v>66</v>
      </c>
      <c r="F21" s="12">
        <v>0</v>
      </c>
      <c r="G21" s="13">
        <v>0</v>
      </c>
      <c r="H21" s="62"/>
      <c r="I21" s="13"/>
      <c r="J21" s="48"/>
      <c r="K21" s="35"/>
      <c r="L21" s="35"/>
    </row>
    <row r="22" spans="1:14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4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4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4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989.7</v>
      </c>
      <c r="K25" s="8">
        <f t="shared" ref="K25:L25" si="1">SUM(K16:K24)</f>
        <v>0</v>
      </c>
      <c r="L25" s="8">
        <f t="shared" si="1"/>
        <v>0</v>
      </c>
    </row>
    <row r="26" spans="1:14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0</v>
      </c>
      <c r="G26" s="10">
        <f t="shared" si="2"/>
        <v>150</v>
      </c>
      <c r="H26" s="70"/>
      <c r="I26" s="10">
        <f t="shared" ref="I26" si="3">I14-I25</f>
        <v>129</v>
      </c>
      <c r="J26" s="50">
        <f t="shared" ref="J26:L26" si="4">J14-J25</f>
        <v>-989.7</v>
      </c>
      <c r="K26" s="10">
        <f t="shared" si="4"/>
        <v>947.52</v>
      </c>
      <c r="L26" s="10">
        <f t="shared" si="4"/>
        <v>900</v>
      </c>
      <c r="N26" s="286"/>
    </row>
    <row r="27" spans="1:14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4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L28" s="287"/>
    </row>
    <row r="29" spans="1:14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>
        <f>-K14</f>
        <v>-947.52</v>
      </c>
      <c r="L29" s="35">
        <f>-L14</f>
        <v>-900</v>
      </c>
      <c r="M29" s="155" t="s">
        <v>104</v>
      </c>
    </row>
    <row r="30" spans="1:14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4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4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I32" s="47">
        <f>SUM(I28:I31)</f>
        <v>0</v>
      </c>
      <c r="J32" s="47">
        <f t="shared" ref="J32" si="6">SUM(J28:J31)</f>
        <v>0</v>
      </c>
      <c r="K32" s="13">
        <f>SUM(K29:K31)</f>
        <v>-947.52</v>
      </c>
      <c r="L32" s="13">
        <f>SUM(L29:L31)</f>
        <v>-900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0</v>
      </c>
      <c r="J36" s="51">
        <f t="shared" ref="J36:L36" si="12">J32-J35</f>
        <v>0</v>
      </c>
      <c r="K36" s="14">
        <f t="shared" si="12"/>
        <v>-947.52</v>
      </c>
      <c r="L36" s="14">
        <f t="shared" si="12"/>
        <v>-900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0</v>
      </c>
      <c r="G37" s="16">
        <f t="shared" si="13"/>
        <v>150</v>
      </c>
      <c r="I37" s="52">
        <f t="shared" ref="I37" si="14">I36+I26</f>
        <v>129</v>
      </c>
      <c r="J37" s="52">
        <f t="shared" ref="J37:L37" si="15">J36+J26</f>
        <v>-989.7</v>
      </c>
      <c r="K37" s="16">
        <f t="shared" si="15"/>
        <v>0</v>
      </c>
      <c r="L37" s="16">
        <f t="shared" si="15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25129</v>
      </c>
      <c r="J40" s="120">
        <f>J4+J37</f>
        <v>24139.3</v>
      </c>
      <c r="K40" s="120">
        <f t="shared" ref="K40:L40" si="16">K4+K37</f>
        <v>24139.3</v>
      </c>
      <c r="L40" s="120">
        <f t="shared" si="16"/>
        <v>24139.3</v>
      </c>
    </row>
  </sheetData>
  <mergeCells count="1">
    <mergeCell ref="F3:G3"/>
  </mergeCells>
  <printOptions headings="1"/>
  <pageMargins left="0.25" right="0.25" top="0.75" bottom="0.75" header="0.3" footer="0.3"/>
  <pageSetup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Q36" sqref="Q3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45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75000</v>
      </c>
      <c r="J4" s="134">
        <f>I40</f>
        <v>0</v>
      </c>
      <c r="K4" s="140">
        <f>J40</f>
        <v>0</v>
      </c>
      <c r="L4" s="140">
        <f>K40</f>
        <v>0</v>
      </c>
    </row>
    <row r="5" spans="1:12" ht="16" thickBot="1" x14ac:dyDescent="0.25">
      <c r="A5" s="1"/>
      <c r="B5" s="1"/>
      <c r="C5" s="1"/>
      <c r="D5" s="1"/>
      <c r="E5" s="66"/>
      <c r="F5" s="74"/>
      <c r="G5" s="74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/>
      <c r="G14" s="8"/>
      <c r="H14" s="62"/>
      <c r="I14" s="8"/>
      <c r="J14" s="49"/>
      <c r="K14" s="8"/>
      <c r="L14" s="8"/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/>
      <c r="G25" s="8"/>
      <c r="H25" s="62"/>
      <c r="I25" s="13"/>
      <c r="J25" s="49"/>
      <c r="K25" s="8"/>
      <c r="L25" s="8"/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/>
      <c r="G26" s="10"/>
      <c r="H26" s="70"/>
      <c r="I26" s="10"/>
      <c r="J26" s="50"/>
      <c r="K26" s="10"/>
      <c r="L26" s="10"/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-75000</v>
      </c>
      <c r="J29" s="48"/>
      <c r="K29" s="35"/>
      <c r="L29" s="35"/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/>
      <c r="G32" s="13"/>
      <c r="I32" s="47">
        <f>SUM(I28:I31)</f>
        <v>-75000</v>
      </c>
      <c r="J32" s="47">
        <f t="shared" ref="J32:L32" si="0">SUM(J28:J31)</f>
        <v>0</v>
      </c>
      <c r="K32" s="13">
        <f t="shared" si="0"/>
        <v>0</v>
      </c>
      <c r="L32" s="13">
        <f t="shared" si="0"/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/>
      <c r="G35" s="14"/>
      <c r="I35" s="51">
        <f t="shared" ref="I35:L35" si="1">I34</f>
        <v>0</v>
      </c>
      <c r="J35" s="51">
        <f t="shared" si="1"/>
        <v>0</v>
      </c>
      <c r="K35" s="14">
        <f t="shared" si="1"/>
        <v>0</v>
      </c>
      <c r="L35" s="14">
        <f t="shared" si="1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/>
      <c r="G36" s="14"/>
      <c r="I36" s="51">
        <f t="shared" ref="I36:L36" si="2">I32-I35</f>
        <v>-75000</v>
      </c>
      <c r="J36" s="51">
        <f t="shared" si="2"/>
        <v>0</v>
      </c>
      <c r="K36" s="14">
        <f t="shared" si="2"/>
        <v>0</v>
      </c>
      <c r="L36" s="14">
        <f t="shared" si="2"/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/>
      <c r="G37" s="16"/>
      <c r="I37" s="52">
        <f t="shared" ref="I37:L37" si="3">I36+I26</f>
        <v>-75000</v>
      </c>
      <c r="J37" s="52">
        <f t="shared" si="3"/>
        <v>0</v>
      </c>
      <c r="K37" s="16">
        <f t="shared" si="3"/>
        <v>0</v>
      </c>
      <c r="L37" s="16">
        <f t="shared" si="3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0</v>
      </c>
      <c r="J40" s="120">
        <f>J4+J37</f>
        <v>0</v>
      </c>
      <c r="K40" s="120">
        <f t="shared" ref="K40:L40" si="4">K4+K37</f>
        <v>0</v>
      </c>
      <c r="L40" s="120">
        <f t="shared" si="4"/>
        <v>0</v>
      </c>
    </row>
  </sheetData>
  <mergeCells count="1">
    <mergeCell ref="F3:G3"/>
  </mergeCells>
  <printOptions headings="1"/>
  <pageMargins left="0.25" right="0.25" top="0.75" bottom="0.75" header="0.3" footer="0.3"/>
  <pageSetup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P34" sqref="P34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F2" s="19"/>
      <c r="H2" s="59"/>
      <c r="I2" s="2" t="s">
        <v>87</v>
      </c>
    </row>
    <row r="3" spans="1:12" ht="18" x14ac:dyDescent="0.2">
      <c r="A3" s="1"/>
      <c r="B3" s="1"/>
      <c r="C3" s="1"/>
      <c r="D3" s="1"/>
      <c r="E3" s="78" t="s">
        <v>128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33"/>
      <c r="G4" s="133"/>
      <c r="H4" s="118" t="s">
        <v>112</v>
      </c>
      <c r="I4" s="119">
        <v>0</v>
      </c>
      <c r="J4" s="134">
        <f>I40</f>
        <v>0</v>
      </c>
      <c r="K4" s="140">
        <f>J40</f>
        <v>5088</v>
      </c>
      <c r="L4" s="140">
        <f>K40</f>
        <v>4909.4399999999996</v>
      </c>
    </row>
    <row r="5" spans="1:12" ht="16" thickBot="1" x14ac:dyDescent="0.25">
      <c r="A5" s="1"/>
      <c r="B5" s="1"/>
      <c r="C5" s="1"/>
      <c r="D5" s="1"/>
      <c r="E5" s="66"/>
      <c r="F5" s="74"/>
      <c r="G5" s="74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>
        <v>178.56</v>
      </c>
      <c r="L13" s="13">
        <v>200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/>
      <c r="G14" s="8"/>
      <c r="H14" s="62"/>
      <c r="I14" s="8"/>
      <c r="J14" s="49"/>
      <c r="K14" s="8"/>
      <c r="L14" s="8"/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/>
      <c r="G25" s="8"/>
      <c r="H25" s="62"/>
      <c r="I25" s="13"/>
      <c r="J25" s="49"/>
      <c r="K25" s="8"/>
      <c r="L25" s="8"/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/>
      <c r="G26" s="10"/>
      <c r="H26" s="70"/>
      <c r="I26" s="10"/>
      <c r="J26" s="50"/>
      <c r="K26" s="10"/>
      <c r="L26" s="10"/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>
        <v>5000</v>
      </c>
      <c r="K29" s="35">
        <f>-K13</f>
        <v>-178.56</v>
      </c>
      <c r="L29" s="35">
        <f>-L13</f>
        <v>-200</v>
      </c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>
        <v>88</v>
      </c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/>
      <c r="G32" s="13"/>
      <c r="I32" s="47">
        <f>SUM(I28:I31)</f>
        <v>0</v>
      </c>
      <c r="J32" s="47">
        <f t="shared" ref="J32:L32" si="0">SUM(J28:J31)</f>
        <v>5088</v>
      </c>
      <c r="K32" s="13">
        <f t="shared" si="0"/>
        <v>-178.56</v>
      </c>
      <c r="L32" s="13">
        <f t="shared" si="0"/>
        <v>-200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/>
      <c r="G35" s="14"/>
      <c r="I35" s="51">
        <f t="shared" ref="I35:L35" si="1">I34</f>
        <v>0</v>
      </c>
      <c r="J35" s="51">
        <f t="shared" si="1"/>
        <v>0</v>
      </c>
      <c r="K35" s="14">
        <f t="shared" si="1"/>
        <v>0</v>
      </c>
      <c r="L35" s="14">
        <f t="shared" si="1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/>
      <c r="G36" s="14"/>
      <c r="I36" s="51">
        <f t="shared" ref="I36:L36" si="2">I32-I35</f>
        <v>0</v>
      </c>
      <c r="J36" s="51">
        <f t="shared" si="2"/>
        <v>5088</v>
      </c>
      <c r="K36" s="14">
        <f t="shared" si="2"/>
        <v>-178.56</v>
      </c>
      <c r="L36" s="14">
        <f t="shared" si="2"/>
        <v>-200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/>
      <c r="G37" s="16"/>
      <c r="I37" s="52">
        <f t="shared" ref="I37:L37" si="3">I36+I26</f>
        <v>0</v>
      </c>
      <c r="J37" s="52">
        <f t="shared" si="3"/>
        <v>5088</v>
      </c>
      <c r="K37" s="16">
        <f t="shared" si="3"/>
        <v>-178.56</v>
      </c>
      <c r="L37" s="16">
        <f t="shared" si="3"/>
        <v>-200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0</v>
      </c>
      <c r="J40" s="120">
        <f>J4+J37</f>
        <v>5088</v>
      </c>
      <c r="K40" s="120">
        <f t="shared" ref="K40:L40" si="4">K4+K37</f>
        <v>4909.4399999999996</v>
      </c>
      <c r="L40" s="120">
        <f t="shared" si="4"/>
        <v>4709.4399999999996</v>
      </c>
    </row>
  </sheetData>
  <mergeCells count="1">
    <mergeCell ref="F3:G3"/>
  </mergeCells>
  <pageMargins left="0.25" right="0.25" top="0.75" bottom="0.75" header="0.3" footer="0.3"/>
  <pageSetup scale="6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0" width="16.33203125" style="19" customWidth="1"/>
    <col min="11" max="12" width="16.33203125" style="2" customWidth="1"/>
    <col min="13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  <c r="J1" s="58"/>
      <c r="K1" s="40"/>
      <c r="L1" s="40"/>
      <c r="M1" s="40"/>
    </row>
    <row r="2" spans="1:13" x14ac:dyDescent="0.2">
      <c r="A2" s="20"/>
      <c r="B2" s="1"/>
      <c r="C2" s="1"/>
      <c r="D2" s="1"/>
      <c r="E2" s="1"/>
      <c r="F2" s="19"/>
      <c r="H2" s="59"/>
      <c r="I2" s="19"/>
      <c r="K2" s="59"/>
      <c r="L2" s="59"/>
      <c r="M2" s="59"/>
    </row>
    <row r="3" spans="1:13" ht="18" x14ac:dyDescent="0.2">
      <c r="A3" s="1"/>
      <c r="B3" s="1"/>
      <c r="C3" s="1"/>
      <c r="D3" s="1"/>
      <c r="E3" s="78" t="s">
        <v>72</v>
      </c>
      <c r="F3" s="68"/>
      <c r="G3" s="21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3" ht="18" x14ac:dyDescent="0.2">
      <c r="A4" s="1"/>
      <c r="B4" s="1"/>
      <c r="C4" s="1"/>
      <c r="D4" s="1"/>
      <c r="E4" s="78"/>
      <c r="F4" s="112"/>
      <c r="G4" s="21"/>
      <c r="H4" s="118" t="s">
        <v>112</v>
      </c>
      <c r="I4" s="124">
        <f>SUM('Elkinton 210:Moir 260'!I4)</f>
        <v>475016</v>
      </c>
      <c r="J4" s="121">
        <f>I40</f>
        <v>347648</v>
      </c>
      <c r="K4" s="140">
        <f>J40</f>
        <v>336389.3</v>
      </c>
      <c r="L4" s="140">
        <f>K40</f>
        <v>306782.51399999997</v>
      </c>
    </row>
    <row r="5" spans="1:13" ht="16" thickBot="1" x14ac:dyDescent="0.25">
      <c r="A5" s="1"/>
      <c r="B5" s="1"/>
      <c r="C5" s="1"/>
      <c r="D5" s="1"/>
      <c r="E5" s="66"/>
      <c r="F5" s="21"/>
      <c r="G5" s="60"/>
      <c r="I5" s="60"/>
      <c r="J5" s="60"/>
      <c r="K5" s="60"/>
      <c r="L5" s="60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23" t="s">
        <v>19</v>
      </c>
      <c r="G6" s="45" t="s">
        <v>20</v>
      </c>
      <c r="I6" s="45" t="s">
        <v>26</v>
      </c>
      <c r="J6" s="61" t="s">
        <v>187</v>
      </c>
      <c r="K6" s="45" t="s">
        <v>17</v>
      </c>
      <c r="L6" s="45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04">
        <f>SUM('Elkinton 210:Committee Travel 250'!F9)</f>
        <v>0</v>
      </c>
      <c r="G9" s="13">
        <f>SUM('Elkinton 210:Committee Travel 250'!G9)</f>
        <v>0</v>
      </c>
      <c r="H9" s="62"/>
      <c r="I9" s="69">
        <f>SUM('Elkinton 210:Green Fund 270'!I9)</f>
        <v>22727</v>
      </c>
      <c r="J9" s="13">
        <f>SUM('Elkinton 210:Green Fund 270'!J9)</f>
        <v>500</v>
      </c>
      <c r="K9" s="13">
        <f>SUM('Elkinton 210:Green Fund 270'!K9)</f>
        <v>0</v>
      </c>
      <c r="L9" s="13">
        <f>SUM('Elkinton 210:Green Fund 270'!L9)</f>
        <v>0</v>
      </c>
    </row>
    <row r="10" spans="1:13" x14ac:dyDescent="0.2">
      <c r="A10" s="1"/>
      <c r="B10" s="1"/>
      <c r="C10" s="1"/>
      <c r="D10" s="1"/>
      <c r="E10" s="128" t="s">
        <v>56</v>
      </c>
      <c r="F10" s="104">
        <f>SUM('Elkinton 210:Committee Travel 250'!F10)</f>
        <v>0</v>
      </c>
      <c r="G10" s="13">
        <f>SUM('Elkinton 210:Committee Travel 250'!G10)</f>
        <v>0</v>
      </c>
      <c r="H10" s="62"/>
      <c r="I10" s="69">
        <f>SUM('Elkinton 210:Green Fund 270'!I10)</f>
        <v>0</v>
      </c>
      <c r="J10" s="13">
        <f>SUM('Elkinton 210:Green Fund 270'!J10)</f>
        <v>0</v>
      </c>
      <c r="K10" s="13">
        <f>SUM('Elkinton 210:Green Fund 270'!K10)</f>
        <v>0</v>
      </c>
      <c r="L10" s="13">
        <f>SUM('Elkinton 210:Green Fund 270'!L10)</f>
        <v>0</v>
      </c>
    </row>
    <row r="11" spans="1:13" x14ac:dyDescent="0.2">
      <c r="A11" s="1"/>
      <c r="B11" s="1"/>
      <c r="C11" s="1"/>
      <c r="D11" s="1"/>
      <c r="E11" s="43" t="s">
        <v>58</v>
      </c>
      <c r="F11" s="104">
        <f>SUM('Elkinton 210:Committee Travel 250'!F11)</f>
        <v>0</v>
      </c>
      <c r="G11" s="13">
        <f>SUM('Elkinton 210:Committee Travel 250'!G11)</f>
        <v>0</v>
      </c>
      <c r="H11" s="62"/>
      <c r="I11" s="69">
        <f>SUM('Elkinton 210:Green Fund 270'!I11)</f>
        <v>50</v>
      </c>
      <c r="J11" s="13">
        <f>SUM('Elkinton 210:Green Fund 270'!J11)</f>
        <v>0</v>
      </c>
      <c r="K11" s="13">
        <f>SUM('Elkinton 210:Green Fund 270'!K11)</f>
        <v>0</v>
      </c>
      <c r="L11" s="13">
        <f>SUM('Elkinton 210:Green Fund 270'!L11)</f>
        <v>0</v>
      </c>
    </row>
    <row r="12" spans="1:13" x14ac:dyDescent="0.2">
      <c r="A12" s="1"/>
      <c r="B12" s="1"/>
      <c r="C12" s="1"/>
      <c r="D12" s="1"/>
      <c r="E12" s="43" t="s">
        <v>59</v>
      </c>
      <c r="F12" s="104">
        <f>SUM('Elkinton 210:Committee Travel 250'!F12)</f>
        <v>0</v>
      </c>
      <c r="G12" s="13">
        <f>SUM('Elkinton 210:Committee Travel 250'!G12)</f>
        <v>0</v>
      </c>
      <c r="H12" s="62"/>
      <c r="I12" s="69">
        <f>SUM('Elkinton 210:Green Fund 270'!I12)</f>
        <v>0</v>
      </c>
      <c r="J12" s="13">
        <f>SUM('Elkinton 210:Green Fund 270'!J12)</f>
        <v>0</v>
      </c>
      <c r="K12" s="13">
        <f>SUM('Elkinton 210:Green Fund 270'!K12)</f>
        <v>0</v>
      </c>
      <c r="L12" s="13">
        <f>SUM('Elkinton 210:Green Fund 270'!L12)</f>
        <v>0</v>
      </c>
    </row>
    <row r="13" spans="1:13" ht="16" thickBot="1" x14ac:dyDescent="0.25">
      <c r="A13" s="1"/>
      <c r="B13" s="1"/>
      <c r="C13" s="1"/>
      <c r="D13" s="1"/>
      <c r="E13" s="43" t="s">
        <v>60</v>
      </c>
      <c r="F13" s="104">
        <f>SUM('Elkinton 210:Committee Travel 250'!F13)</f>
        <v>14412</v>
      </c>
      <c r="G13" s="13">
        <f>SUM('Elkinton 210:Committee Travel 250'!G13)</f>
        <v>11694</v>
      </c>
      <c r="H13" s="62"/>
      <c r="I13" s="69">
        <f>SUM('Elkinton 210:Green Fund 270'!I13)</f>
        <v>11941</v>
      </c>
      <c r="J13" s="13">
        <f>SUM('Elkinton 210:Green Fund 270'!J13)</f>
        <v>11392</v>
      </c>
      <c r="K13" s="13">
        <f>SUM('Elkinton 210:Green Fund 270'!K13)</f>
        <v>10347.48</v>
      </c>
      <c r="L13" s="13">
        <f>SUM('Elkinton 210:Green Fund 270'!L13)</f>
        <v>10200</v>
      </c>
    </row>
    <row r="14" spans="1:13" ht="16" thickBot="1" x14ac:dyDescent="0.25">
      <c r="A14" s="1"/>
      <c r="B14" s="1"/>
      <c r="C14" s="1"/>
      <c r="D14" s="1" t="s">
        <v>6</v>
      </c>
      <c r="E14" s="31"/>
      <c r="F14" s="105">
        <f>SUM(F9:F13)</f>
        <v>14412</v>
      </c>
      <c r="G14" s="8">
        <f>SUM(G9:G13)</f>
        <v>11694</v>
      </c>
      <c r="H14" s="62"/>
      <c r="I14" s="8">
        <f>SUM(I9:I13)</f>
        <v>34718</v>
      </c>
      <c r="J14" s="49">
        <f>SUM(J9:J13)</f>
        <v>11892</v>
      </c>
      <c r="K14" s="49">
        <f>SUM(K9:K13)</f>
        <v>10347.48</v>
      </c>
      <c r="L14" s="49">
        <f>SUM(L9:L13)</f>
        <v>10200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04"/>
      <c r="G15" s="13"/>
      <c r="H15" s="62"/>
      <c r="I15" s="13"/>
      <c r="J15" s="47"/>
      <c r="K15" s="47"/>
      <c r="L15" s="47"/>
    </row>
    <row r="16" spans="1:13" x14ac:dyDescent="0.2">
      <c r="A16" s="1"/>
      <c r="B16" s="1"/>
      <c r="C16" s="1"/>
      <c r="D16" s="1"/>
      <c r="E16" s="43" t="s">
        <v>61</v>
      </c>
      <c r="F16" s="104">
        <f>SUM('Elkinton 210:Committee Travel 250'!F16)</f>
        <v>0</v>
      </c>
      <c r="G16" s="13">
        <f>SUM('Elkinton 210:Committee Travel 250'!G16)</f>
        <v>0</v>
      </c>
      <c r="H16" s="62"/>
      <c r="I16" s="13">
        <f>SUM('Elkinton 210:Green Fund 270'!I16)</f>
        <v>0</v>
      </c>
      <c r="J16" s="13">
        <f>SUM('Elkinton 210:Green Fund 270'!J16)</f>
        <v>0</v>
      </c>
      <c r="K16" s="13">
        <f>SUM('Elkinton 210:Green Fund 270'!K16)</f>
        <v>0</v>
      </c>
      <c r="L16" s="13">
        <f>SUM('Elkinton 210:Green Fund 270'!L16)</f>
        <v>0</v>
      </c>
    </row>
    <row r="17" spans="1:12" x14ac:dyDescent="0.2">
      <c r="A17" s="1"/>
      <c r="B17" s="1"/>
      <c r="C17" s="1"/>
      <c r="D17" s="1"/>
      <c r="E17" s="43" t="s">
        <v>62</v>
      </c>
      <c r="F17" s="104">
        <f>SUM('Elkinton 210:Committee Travel 250'!F17)</f>
        <v>0</v>
      </c>
      <c r="G17" s="13">
        <f>SUM('Elkinton 210:Committee Travel 250'!G17)</f>
        <v>0</v>
      </c>
      <c r="H17" s="62"/>
      <c r="I17" s="13">
        <f>SUM('Elkinton 210:Green Fund 270'!I17)</f>
        <v>0</v>
      </c>
      <c r="J17" s="13">
        <f>SUM('Elkinton 210:Green Fund 270'!J17)</f>
        <v>0</v>
      </c>
      <c r="K17" s="13">
        <f>SUM('Elkinton 210:Green Fund 270'!K17)</f>
        <v>0</v>
      </c>
      <c r="L17" s="13">
        <f>SUM('Elkinton 210:Green Fund 270'!L17)</f>
        <v>0</v>
      </c>
    </row>
    <row r="18" spans="1:12" x14ac:dyDescent="0.2">
      <c r="A18" s="1"/>
      <c r="B18" s="1"/>
      <c r="C18" s="1"/>
      <c r="D18" s="1"/>
      <c r="E18" s="43" t="s">
        <v>63</v>
      </c>
      <c r="F18" s="104">
        <f>SUM('Elkinton 210:Committee Travel 250'!F18)</f>
        <v>0</v>
      </c>
      <c r="G18" s="13">
        <f>SUM('Elkinton 210:Committee Travel 250'!G18)</f>
        <v>0</v>
      </c>
      <c r="H18" s="62"/>
      <c r="I18" s="13">
        <f>SUM('Elkinton 210:Green Fund 270'!I18)</f>
        <v>0</v>
      </c>
      <c r="J18" s="13">
        <f>SUM('Elkinton 210:Green Fund 270'!J18)</f>
        <v>989.7</v>
      </c>
      <c r="K18" s="13">
        <f>SUM('Elkinton 210:Green Fund 270'!K18)</f>
        <v>0</v>
      </c>
      <c r="L18" s="13">
        <f>SUM('Elkinton 210:Green Fund 270'!L18)</f>
        <v>0</v>
      </c>
    </row>
    <row r="19" spans="1:12" x14ac:dyDescent="0.2">
      <c r="A19" s="1"/>
      <c r="B19" s="1"/>
      <c r="C19" s="1"/>
      <c r="D19" s="1"/>
      <c r="E19" s="43" t="s">
        <v>64</v>
      </c>
      <c r="F19" s="104">
        <f>SUM('Elkinton 210:Committee Travel 250'!F19)</f>
        <v>0</v>
      </c>
      <c r="G19" s="13">
        <f>SUM('Elkinton 210:Committee Travel 250'!G19)</f>
        <v>0</v>
      </c>
      <c r="H19" s="62"/>
      <c r="I19" s="13">
        <f>SUM('Elkinton 210:Green Fund 270'!I19)</f>
        <v>0</v>
      </c>
      <c r="J19" s="13">
        <f>SUM('Elkinton 210:Green Fund 270'!J19)</f>
        <v>814</v>
      </c>
      <c r="K19" s="13">
        <f>SUM('Elkinton 210:Green Fund 270'!K19)</f>
        <v>0</v>
      </c>
      <c r="L19" s="13">
        <f>SUM('Elkinton 210:Green Fund 270'!L19)</f>
        <v>0</v>
      </c>
    </row>
    <row r="20" spans="1:12" x14ac:dyDescent="0.2">
      <c r="A20" s="1"/>
      <c r="B20" s="1"/>
      <c r="C20" s="1"/>
      <c r="D20" s="1"/>
      <c r="E20" s="43" t="s">
        <v>65</v>
      </c>
      <c r="F20" s="104">
        <f>SUM('Elkinton 210:Committee Travel 250'!F20)</f>
        <v>0</v>
      </c>
      <c r="G20" s="13">
        <f>SUM('Elkinton 210:Committee Travel 250'!G20)</f>
        <v>0</v>
      </c>
      <c r="H20" s="62"/>
      <c r="I20" s="13">
        <f>SUM('Elkinton 210:Green Fund 270'!I20)</f>
        <v>0</v>
      </c>
      <c r="J20" s="13">
        <f>SUM('Elkinton 210:Green Fund 270'!J20)</f>
        <v>0</v>
      </c>
      <c r="K20" s="13">
        <f>SUM('Elkinton 210:Green Fund 270'!K20)</f>
        <v>0</v>
      </c>
      <c r="L20" s="13">
        <f>SUM('Elkinton 210:Green Fund 270'!L20)</f>
        <v>0</v>
      </c>
    </row>
    <row r="21" spans="1:12" x14ac:dyDescent="0.2">
      <c r="A21" s="1"/>
      <c r="B21" s="1"/>
      <c r="C21" s="1"/>
      <c r="D21" s="1"/>
      <c r="E21" s="43" t="s">
        <v>66</v>
      </c>
      <c r="F21" s="104">
        <f>SUM('Elkinton 210:Committee Travel 250'!F21)</f>
        <v>2817</v>
      </c>
      <c r="G21" s="13">
        <f>SUM('Elkinton 210:Committee Travel 250'!G21)</f>
        <v>2418</v>
      </c>
      <c r="H21" s="62"/>
      <c r="I21" s="13">
        <f>SUM('Elkinton 210:Green Fund 270'!I21)</f>
        <v>1000</v>
      </c>
      <c r="J21" s="13">
        <f>SUM('Elkinton 210:Green Fund 270'!J21)</f>
        <v>0</v>
      </c>
      <c r="K21" s="13">
        <f>SUM('Elkinton 210:Green Fund 270'!K21)</f>
        <v>1915.72</v>
      </c>
      <c r="L21" s="13">
        <f>SUM('Elkinton 210:Green Fund 270'!L21)</f>
        <v>1800</v>
      </c>
    </row>
    <row r="22" spans="1:12" x14ac:dyDescent="0.2">
      <c r="A22" s="1"/>
      <c r="B22" s="1"/>
      <c r="C22" s="1"/>
      <c r="D22" s="1"/>
      <c r="E22" s="43" t="s">
        <v>67</v>
      </c>
      <c r="F22" s="104">
        <f>SUM('Elkinton 210:Committee Travel 250'!F22)</f>
        <v>0</v>
      </c>
      <c r="G22" s="13">
        <f>SUM('Elkinton 210:Committee Travel 250'!G22)</f>
        <v>0</v>
      </c>
      <c r="H22" s="62"/>
      <c r="I22" s="13">
        <f>SUM('Elkinton 210:Green Fund 270'!I22)</f>
        <v>0</v>
      </c>
      <c r="J22" s="13">
        <f>SUM('Elkinton 210:Green Fund 270'!J22)</f>
        <v>0</v>
      </c>
      <c r="K22" s="13">
        <f>SUM('Elkinton 210:Green Fund 270'!K22)</f>
        <v>0</v>
      </c>
      <c r="L22" s="13">
        <f>SUM('Elkinton 210:Green Fund 270'!L22)</f>
        <v>0</v>
      </c>
    </row>
    <row r="23" spans="1:12" x14ac:dyDescent="0.2">
      <c r="A23" s="1"/>
      <c r="B23" s="1"/>
      <c r="C23" s="1"/>
      <c r="D23" s="1"/>
      <c r="E23" s="43" t="s">
        <v>68</v>
      </c>
      <c r="F23" s="104">
        <f>SUM('Elkinton 210:Committee Travel 250'!F23)</f>
        <v>0</v>
      </c>
      <c r="G23" s="13">
        <f>SUM('Elkinton 210:Committee Travel 250'!G23)</f>
        <v>0</v>
      </c>
      <c r="H23" s="62"/>
      <c r="I23" s="13">
        <f>SUM('Elkinton 210:Green Fund 270'!I23)</f>
        <v>0</v>
      </c>
      <c r="J23" s="13">
        <f>SUM('Elkinton 210:Green Fund 270'!J23)</f>
        <v>0</v>
      </c>
      <c r="K23" s="13">
        <f>SUM('Elkinton 210:Green Fund 270'!K23)</f>
        <v>0</v>
      </c>
      <c r="L23" s="13">
        <f>SUM('Elkinton 210:Green Fund 270'!L23)</f>
        <v>0</v>
      </c>
    </row>
    <row r="24" spans="1:12" ht="16" thickBot="1" x14ac:dyDescent="0.25">
      <c r="A24" s="1"/>
      <c r="B24" s="1"/>
      <c r="C24" s="1"/>
      <c r="D24" s="1"/>
      <c r="E24" s="43" t="s">
        <v>14</v>
      </c>
      <c r="F24" s="104">
        <f>SUM('Elkinton 210:Committee Travel 250'!F24)</f>
        <v>0</v>
      </c>
      <c r="G24" s="13">
        <f>SUM('Elkinton 210:Committee Travel 250'!G24)</f>
        <v>0</v>
      </c>
      <c r="H24" s="62"/>
      <c r="I24" s="94">
        <f>SUM('Elkinton 210:Green Fund 270'!I24)</f>
        <v>0</v>
      </c>
      <c r="J24" s="13">
        <f>SUM('Elkinton 210:Green Fund 270'!J24)</f>
        <v>0</v>
      </c>
      <c r="K24" s="13">
        <f>SUM('Elkinton 210:Green Fund 270'!K24)</f>
        <v>0</v>
      </c>
      <c r="L24" s="13">
        <f>SUM('Elkinton 210:Green Fund 270'!L24)</f>
        <v>0</v>
      </c>
    </row>
    <row r="25" spans="1:12" ht="16" thickBot="1" x14ac:dyDescent="0.25">
      <c r="A25" s="1"/>
      <c r="B25" s="1"/>
      <c r="C25" s="1"/>
      <c r="D25" s="1" t="s">
        <v>7</v>
      </c>
      <c r="E25" s="31"/>
      <c r="F25" s="105">
        <f>SUM(F16:F24)</f>
        <v>2817</v>
      </c>
      <c r="G25" s="8">
        <f>SUM(G16:G24)</f>
        <v>2418</v>
      </c>
      <c r="H25" s="62"/>
      <c r="I25" s="13">
        <f>SUM(I16:I24)</f>
        <v>1000</v>
      </c>
      <c r="J25" s="49">
        <f>SUM(J16:J24)</f>
        <v>1803.7</v>
      </c>
      <c r="K25" s="49">
        <f>SUM(K16:K24)</f>
        <v>1915.72</v>
      </c>
      <c r="L25" s="49">
        <f>SUM(L16:L24)</f>
        <v>1800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107">
        <f t="shared" ref="F26" si="0">F14-F25</f>
        <v>11595</v>
      </c>
      <c r="G26" s="10">
        <f t="shared" ref="G26" si="1">G14-G25</f>
        <v>9276</v>
      </c>
      <c r="H26" s="70"/>
      <c r="I26" s="10">
        <f t="shared" ref="I26" si="2">I14-I25</f>
        <v>33718</v>
      </c>
      <c r="J26" s="50">
        <f t="shared" ref="J26" si="3">J14-J25</f>
        <v>10088.299999999999</v>
      </c>
      <c r="K26" s="50">
        <f t="shared" ref="K26:L26" si="4">K14-K25</f>
        <v>8431.76</v>
      </c>
      <c r="L26" s="50">
        <f t="shared" si="4"/>
        <v>8400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04"/>
      <c r="G27" s="13"/>
      <c r="H27" s="62"/>
      <c r="I27" s="13"/>
      <c r="J27" s="47"/>
      <c r="K27" s="47"/>
      <c r="L27" s="47"/>
    </row>
    <row r="28" spans="1:12" x14ac:dyDescent="0.2">
      <c r="A28" s="1"/>
      <c r="B28" s="1"/>
      <c r="C28" s="1" t="s">
        <v>8</v>
      </c>
      <c r="D28" s="1"/>
      <c r="E28" s="31"/>
      <c r="F28" s="104"/>
      <c r="G28" s="13"/>
      <c r="H28" s="62"/>
      <c r="I28" s="13"/>
      <c r="J28" s="47"/>
      <c r="K28" s="47"/>
      <c r="L28" s="47"/>
    </row>
    <row r="29" spans="1:12" x14ac:dyDescent="0.2">
      <c r="A29" s="1"/>
      <c r="B29" s="1"/>
      <c r="C29" s="1"/>
      <c r="D29" s="41"/>
      <c r="E29" s="43" t="s">
        <v>69</v>
      </c>
      <c r="F29" s="104">
        <f>SUM('Elkinton 210:Committee Travel 250'!F29)</f>
        <v>15000</v>
      </c>
      <c r="G29" s="13">
        <f>SUM('Elkinton 210:Committee Travel 250'!G29)</f>
        <v>17000</v>
      </c>
      <c r="H29" s="62"/>
      <c r="I29" s="13">
        <f>SUM('Elkinton 210:Green Fund 270'!I29)</f>
        <v>-143070</v>
      </c>
      <c r="J29" s="13">
        <f>SUM('Elkinton 210:Green Fund 270'!J29)</f>
        <v>-27000</v>
      </c>
      <c r="K29" s="13">
        <f>SUM('Elkinton 210:Green Fund 270'!K29)</f>
        <v>-38038.545999999995</v>
      </c>
      <c r="L29" s="13">
        <f>SUM('Elkinton 210:Green Fund 270'!L29)</f>
        <v>-25929.786</v>
      </c>
    </row>
    <row r="30" spans="1:12" x14ac:dyDescent="0.2">
      <c r="A30" s="1"/>
      <c r="B30" s="1"/>
      <c r="C30" s="1"/>
      <c r="D30" s="44"/>
      <c r="E30" s="63" t="s">
        <v>16</v>
      </c>
      <c r="F30" s="104">
        <f>SUM('Elkinton 210:Committee Travel 250'!F30)</f>
        <v>0</v>
      </c>
      <c r="G30" s="13">
        <f>SUM('Elkinton 210:Committee Travel 250'!G30)</f>
        <v>0</v>
      </c>
      <c r="H30" s="62"/>
      <c r="I30" s="13">
        <f>SUM('Elkinton 210:Green Fund 270'!I30)</f>
        <v>0</v>
      </c>
      <c r="J30" s="13">
        <f>SUM('Elkinton 210:Green Fund 270'!J30)</f>
        <v>0</v>
      </c>
      <c r="K30" s="13">
        <f>SUM('Elkinton 210:Committee Travel 250'!K30)</f>
        <v>0</v>
      </c>
      <c r="L30" s="13">
        <f>SUM('Elkinton 210:Committee Travel 250'!L30)</f>
        <v>0</v>
      </c>
    </row>
    <row r="31" spans="1:12" ht="16" thickBot="1" x14ac:dyDescent="0.25">
      <c r="A31" s="1"/>
      <c r="B31" s="1"/>
      <c r="C31" s="1"/>
      <c r="D31" s="41"/>
      <c r="E31" s="43" t="s">
        <v>70</v>
      </c>
      <c r="F31" s="95">
        <f>SUM('Elkinton 210:Committee Travel 250'!F31)</f>
        <v>0</v>
      </c>
      <c r="G31" s="27">
        <f>SUM('Elkinton 210:Committee Travel 250'!G31)</f>
        <v>0</v>
      </c>
      <c r="H31" s="62"/>
      <c r="I31" s="94">
        <f>SUM('Elkinton 210:Green Fund 270'!I31)</f>
        <v>-18016</v>
      </c>
      <c r="J31" s="94">
        <f>SUM('Elkinton 210:Green Fund 270'!J31)</f>
        <v>5653</v>
      </c>
      <c r="K31" s="27">
        <f>SUM('Elkinton 210:Committee Travel 250'!K31)</f>
        <v>0</v>
      </c>
      <c r="L31" s="27">
        <f>SUM('Elkinton 210:Committee Travel 250'!L31)</f>
        <v>0</v>
      </c>
    </row>
    <row r="32" spans="1:12" x14ac:dyDescent="0.2">
      <c r="A32" s="1"/>
      <c r="B32" s="1"/>
      <c r="C32" s="1" t="s">
        <v>10</v>
      </c>
      <c r="D32" s="1"/>
      <c r="E32" s="31"/>
      <c r="F32" s="104">
        <f>SUM(F29:F31)</f>
        <v>15000</v>
      </c>
      <c r="G32" s="13">
        <f>SUM(G29:G31)</f>
        <v>17000</v>
      </c>
      <c r="I32" s="47">
        <f>SUM(I28:I31)</f>
        <v>-161086</v>
      </c>
      <c r="J32" s="47">
        <f t="shared" ref="J32" si="5">SUM(J28:J31)</f>
        <v>-21347</v>
      </c>
      <c r="K32" s="47">
        <f t="shared" ref="K32:L32" si="6">SUM(K28:K31)</f>
        <v>-38038.545999999995</v>
      </c>
      <c r="L32" s="47">
        <f t="shared" si="6"/>
        <v>-25929.786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04"/>
      <c r="G33" s="13"/>
      <c r="I33" s="47"/>
      <c r="J33" s="47"/>
      <c r="K33" s="47"/>
      <c r="L33" s="47"/>
    </row>
    <row r="34" spans="1:12" ht="16" thickBot="1" x14ac:dyDescent="0.25">
      <c r="A34" s="1"/>
      <c r="B34" s="1"/>
      <c r="C34" s="1"/>
      <c r="D34" s="41" t="s">
        <v>71</v>
      </c>
      <c r="E34" s="31"/>
      <c r="F34" s="104">
        <f>SUM('Bax Fund 240:Committee Travel 250'!F34)</f>
        <v>0</v>
      </c>
      <c r="G34" s="13">
        <f>SUM('Bax Fund 240:Committee Travel 250'!G34)</f>
        <v>0</v>
      </c>
      <c r="I34" s="47">
        <f>SUM('Bax Fund 240:Committee Travel 250'!I34)</f>
        <v>0</v>
      </c>
      <c r="J34" s="47">
        <f>SUM('Bax Fund 240:Committee Travel 250'!J34)</f>
        <v>0</v>
      </c>
      <c r="K34" s="47">
        <f>SUM('Bax Fund 240:Committee Travel 250'!K34)</f>
        <v>0</v>
      </c>
      <c r="L34" s="47">
        <f>SUM('Bax Fund 240:Committee Travel 250'!L34)</f>
        <v>0</v>
      </c>
    </row>
    <row r="35" spans="1:12" ht="16" thickBot="1" x14ac:dyDescent="0.25">
      <c r="A35" s="1"/>
      <c r="B35" s="1"/>
      <c r="C35" s="1" t="s">
        <v>12</v>
      </c>
      <c r="D35" s="1"/>
      <c r="E35" s="31"/>
      <c r="F35" s="106">
        <f t="shared" ref="F35" si="7">F34</f>
        <v>0</v>
      </c>
      <c r="G35" s="14">
        <f t="shared" ref="G35" si="8">G34</f>
        <v>0</v>
      </c>
      <c r="I35" s="51">
        <f t="shared" ref="I35" si="9">I34</f>
        <v>0</v>
      </c>
      <c r="J35" s="51">
        <f t="shared" ref="J35" si="10">J34</f>
        <v>0</v>
      </c>
      <c r="K35" s="51">
        <f t="shared" ref="K35:L35" si="11">K34</f>
        <v>0</v>
      </c>
      <c r="L35" s="51">
        <f t="shared" si="11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06">
        <f t="shared" ref="F36" si="12">F32-F35</f>
        <v>15000</v>
      </c>
      <c r="G36" s="14">
        <f t="shared" ref="G36" si="13">G32-G35</f>
        <v>17000</v>
      </c>
      <c r="I36" s="51">
        <f t="shared" ref="I36" si="14">I32-I35</f>
        <v>-161086</v>
      </c>
      <c r="J36" s="51">
        <f t="shared" ref="J36" si="15">J32-J35</f>
        <v>-21347</v>
      </c>
      <c r="K36" s="51">
        <f t="shared" ref="K36:L36" si="16">K32-K35</f>
        <v>-38038.545999999995</v>
      </c>
      <c r="L36" s="51">
        <f t="shared" si="16"/>
        <v>-25929.786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08">
        <f t="shared" ref="F37" si="17">F36+F26</f>
        <v>26595</v>
      </c>
      <c r="G37" s="16">
        <f t="shared" ref="G37" si="18">G36+G26</f>
        <v>26276</v>
      </c>
      <c r="I37" s="52">
        <f t="shared" ref="I37" si="19">I36+I26</f>
        <v>-127368</v>
      </c>
      <c r="J37" s="52">
        <f t="shared" ref="J37" si="20">J36+J26</f>
        <v>-11258.7</v>
      </c>
      <c r="K37" s="52">
        <f t="shared" ref="K37:L37" si="21">K36+K26</f>
        <v>-29606.785999999993</v>
      </c>
      <c r="L37" s="52">
        <f t="shared" si="21"/>
        <v>-17529.786</v>
      </c>
    </row>
    <row r="38" spans="1:12" ht="17" thickTop="1" thickBot="1" x14ac:dyDescent="0.25">
      <c r="E38" s="33"/>
      <c r="F38" s="109"/>
      <c r="G38" s="30"/>
      <c r="I38" s="53"/>
      <c r="J38" s="53"/>
      <c r="K38" s="53"/>
      <c r="L38" s="53"/>
    </row>
    <row r="39" spans="1:12" ht="16" thickTop="1" x14ac:dyDescent="0.2"/>
    <row r="40" spans="1:12" x14ac:dyDescent="0.2">
      <c r="H40" s="118" t="s">
        <v>111</v>
      </c>
      <c r="I40" s="120">
        <f>I4+I37</f>
        <v>347648</v>
      </c>
      <c r="J40" s="120">
        <f>J4+J37</f>
        <v>336389.3</v>
      </c>
      <c r="K40" s="120">
        <f t="shared" ref="K40:L40" si="22">K4+K37</f>
        <v>306782.51399999997</v>
      </c>
      <c r="L40" s="120">
        <f t="shared" si="22"/>
        <v>289252.72799999994</v>
      </c>
    </row>
  </sheetData>
  <printOptions headings="1"/>
  <pageMargins left="0.25" right="0.25" top="0.75" bottom="0.75" header="0.3" footer="0.3"/>
  <pageSetup scale="67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M40"/>
  <sheetViews>
    <sheetView zoomScale="125" zoomScaleNormal="125" zoomScalePageLayoutView="12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3" sqref="J3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0" width="16.33203125" style="19" customWidth="1"/>
    <col min="11" max="12" width="16.33203125" style="2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  <c r="J1" s="58"/>
      <c r="K1" s="40"/>
      <c r="L1" s="40"/>
      <c r="M1" s="40"/>
    </row>
    <row r="2" spans="1:13" x14ac:dyDescent="0.2">
      <c r="A2" s="20"/>
      <c r="B2" s="1"/>
      <c r="C2" s="1"/>
      <c r="D2" s="1"/>
      <c r="E2" s="1"/>
      <c r="F2" s="19"/>
      <c r="G2" s="123" t="s">
        <v>52</v>
      </c>
      <c r="H2" s="129">
        <f>-27831</f>
        <v>-27831</v>
      </c>
      <c r="J2" s="308" t="s">
        <v>192</v>
      </c>
      <c r="K2" s="19"/>
      <c r="L2" s="19"/>
    </row>
    <row r="3" spans="1:13" ht="18" x14ac:dyDescent="0.2">
      <c r="A3" s="1"/>
      <c r="B3" s="1"/>
      <c r="C3" s="1"/>
      <c r="D3" s="1"/>
      <c r="E3" s="78" t="s">
        <v>53</v>
      </c>
      <c r="F3" s="21"/>
      <c r="G3" s="21"/>
      <c r="I3" s="135" t="s">
        <v>74</v>
      </c>
      <c r="J3" s="136" t="s">
        <v>75</v>
      </c>
      <c r="K3" s="136" t="s">
        <v>91</v>
      </c>
      <c r="L3" s="136" t="s">
        <v>93</v>
      </c>
      <c r="M3" s="59"/>
    </row>
    <row r="4" spans="1:13" ht="18" x14ac:dyDescent="0.2">
      <c r="A4" s="1"/>
      <c r="B4" s="1"/>
      <c r="C4" s="1"/>
      <c r="D4" s="1"/>
      <c r="E4" s="78"/>
      <c r="F4" s="21"/>
      <c r="G4" s="21"/>
      <c r="H4" s="118" t="s">
        <v>112</v>
      </c>
      <c r="I4" s="121">
        <f>SUM('Elkinton 210:Moir 260'!I4)+H2</f>
        <v>447185</v>
      </c>
      <c r="J4" s="122">
        <f>I40-2147</f>
        <v>359200</v>
      </c>
      <c r="K4" s="140">
        <f>J40</f>
        <v>294888.32999999996</v>
      </c>
      <c r="L4" s="140">
        <f>K40</f>
        <v>264826.03399999999</v>
      </c>
    </row>
    <row r="5" spans="1:13" ht="16" thickBot="1" x14ac:dyDescent="0.25">
      <c r="A5" s="1"/>
      <c r="B5" s="1"/>
      <c r="C5" s="1"/>
      <c r="D5" s="1"/>
      <c r="F5" s="65"/>
      <c r="G5" s="60"/>
      <c r="I5" s="60"/>
      <c r="J5" s="60"/>
      <c r="K5" s="60"/>
      <c r="L5" s="60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23" t="s">
        <v>19</v>
      </c>
      <c r="G6" s="45" t="s">
        <v>20</v>
      </c>
      <c r="I6" s="45" t="s">
        <v>26</v>
      </c>
      <c r="J6" s="61" t="s">
        <v>187</v>
      </c>
      <c r="K6" s="45" t="s">
        <v>17</v>
      </c>
      <c r="L6" s="45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102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103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04">
        <f>SUM('Admin 110:Committee Travel 250'!F9)</f>
        <v>213500</v>
      </c>
      <c r="G9" s="13">
        <f>SUM('Admin 110:Green Fund 270'!G9)</f>
        <v>226000</v>
      </c>
      <c r="H9" s="62"/>
      <c r="I9" s="13">
        <f>SUM('Admin 110:Green Fund 270'!I9)</f>
        <v>223268</v>
      </c>
      <c r="J9" s="13">
        <f>SUM('Admin 110:Green Fund 270'!J9)</f>
        <v>181583</v>
      </c>
      <c r="K9" s="13">
        <f>SUM('Admin 110:Green Fund 270'!K9)</f>
        <v>213500</v>
      </c>
      <c r="L9" s="13">
        <f>SUM('Admin 110:Green Fund 270'!L9)</f>
        <v>230500</v>
      </c>
    </row>
    <row r="10" spans="1:13" x14ac:dyDescent="0.2">
      <c r="A10" s="1"/>
      <c r="B10" s="1"/>
      <c r="C10" s="1"/>
      <c r="D10" s="1"/>
      <c r="E10" s="128" t="s">
        <v>56</v>
      </c>
      <c r="F10" s="104">
        <f>SUM('Admin 110:Committee Travel 250'!F10)</f>
        <v>0</v>
      </c>
      <c r="G10" s="13">
        <f>SUM('Admin 110:Green Fund 270'!G10)</f>
        <v>45000</v>
      </c>
      <c r="H10" s="62"/>
      <c r="I10" s="13">
        <f>SUM('Admin 110:Green Fund 270'!I10)</f>
        <v>0</v>
      </c>
      <c r="J10" s="13">
        <f>SUM('Admin 110:Green Fund 270'!J10)</f>
        <v>0</v>
      </c>
      <c r="K10" s="13">
        <f>SUM('Admin 110:Committee Travel 250'!K10)</f>
        <v>0</v>
      </c>
      <c r="L10" s="13">
        <f>SUM('Admin 110:Committee Travel 250'!L10)</f>
        <v>45000</v>
      </c>
    </row>
    <row r="11" spans="1:13" x14ac:dyDescent="0.2">
      <c r="A11" s="1"/>
      <c r="B11" s="1"/>
      <c r="C11" s="1"/>
      <c r="D11" s="1"/>
      <c r="E11" s="43" t="s">
        <v>58</v>
      </c>
      <c r="F11" s="104">
        <f>SUM('Admin 110:Committee Travel 250'!F11)</f>
        <v>5000</v>
      </c>
      <c r="G11" s="13">
        <f>SUM('Admin 110:Green Fund 270'!G11)</f>
        <v>7000</v>
      </c>
      <c r="H11" s="62"/>
      <c r="I11" s="13">
        <f>SUM('Admin 110:Green Fund 270'!I11)</f>
        <v>10114</v>
      </c>
      <c r="J11" s="13">
        <f>SUM('Admin 110:Green Fund 270'!J11)</f>
        <v>25662</v>
      </c>
      <c r="K11" s="13">
        <f>SUM('Admin 110:Committee Travel 250'!K11)</f>
        <v>10000</v>
      </c>
      <c r="L11" s="13">
        <f>SUM('Admin 110:Committee Travel 250'!L11)</f>
        <v>10000</v>
      </c>
    </row>
    <row r="12" spans="1:13" x14ac:dyDescent="0.2">
      <c r="A12" s="1"/>
      <c r="B12" s="1"/>
      <c r="C12" s="1"/>
      <c r="D12" s="1"/>
      <c r="E12" s="43" t="s">
        <v>59</v>
      </c>
      <c r="F12" s="104">
        <f>SUM('Admin 110:Committee Travel 250'!F12)</f>
        <v>500</v>
      </c>
      <c r="G12" s="13">
        <f>SUM('Admin 110:Green Fund 270'!G12)</f>
        <v>1000</v>
      </c>
      <c r="H12" s="62"/>
      <c r="I12" s="13">
        <f>SUM('Admin 110:Green Fund 270'!I12)</f>
        <v>14</v>
      </c>
      <c r="J12" s="13">
        <f>SUM('Admin 110:Green Fund 270'!J12)</f>
        <v>1319.03</v>
      </c>
      <c r="K12" s="13">
        <f>SUM('Admin 110:Committee Travel 250'!K12)</f>
        <v>500</v>
      </c>
      <c r="L12" s="13">
        <f>SUM('Admin 110:Committee Travel 250'!L12)</f>
        <v>500</v>
      </c>
    </row>
    <row r="13" spans="1:13" ht="16" thickBot="1" x14ac:dyDescent="0.25">
      <c r="A13" s="1"/>
      <c r="B13" s="1"/>
      <c r="C13" s="1"/>
      <c r="D13" s="1"/>
      <c r="E13" s="43" t="s">
        <v>60</v>
      </c>
      <c r="F13" s="104">
        <f>SUM('Admin 110:Committee Travel 250'!F13)</f>
        <v>15104</v>
      </c>
      <c r="G13" s="13">
        <f>SUM('Admin 110:Green Fund 270'!G13)</f>
        <v>14009</v>
      </c>
      <c r="H13" s="62"/>
      <c r="I13" s="13">
        <f>SUM('Admin 110:Green Fund 270'!I13)</f>
        <v>14311</v>
      </c>
      <c r="J13" s="13">
        <f>SUM('Admin 110:Green Fund 270'!J13)</f>
        <v>13795</v>
      </c>
      <c r="K13" s="13">
        <f>SUM('Admin 110:Committee Travel 250'!K13)</f>
        <v>12389.199999999999</v>
      </c>
      <c r="L13" s="13">
        <f>SUM('Admin 110:Committee Travel 250'!L13)</f>
        <v>12175</v>
      </c>
    </row>
    <row r="14" spans="1:13" ht="16" thickBot="1" x14ac:dyDescent="0.25">
      <c r="A14" s="1"/>
      <c r="B14" s="1"/>
      <c r="C14" s="1"/>
      <c r="D14" s="1" t="s">
        <v>6</v>
      </c>
      <c r="E14" s="31"/>
      <c r="F14" s="105">
        <f>SUM(F9:F13)</f>
        <v>234104</v>
      </c>
      <c r="G14" s="8">
        <f>SUM(G9:G13)</f>
        <v>293009</v>
      </c>
      <c r="I14" s="49">
        <f>SUM(I9:I13)</f>
        <v>247707</v>
      </c>
      <c r="J14" s="49">
        <f>SUM(J9:J13)</f>
        <v>222359.03</v>
      </c>
      <c r="K14" s="49">
        <f>SUM(K9:K13)</f>
        <v>236389.2</v>
      </c>
      <c r="L14" s="49">
        <f>SUM(L9:L13)</f>
        <v>298175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06"/>
      <c r="G15" s="13"/>
      <c r="I15" s="47"/>
      <c r="J15" s="47"/>
      <c r="K15" s="47"/>
      <c r="L15" s="47"/>
    </row>
    <row r="16" spans="1:13" x14ac:dyDescent="0.2">
      <c r="A16" s="1"/>
      <c r="B16" s="1"/>
      <c r="C16" s="1"/>
      <c r="D16" s="1"/>
      <c r="E16" s="43" t="s">
        <v>61</v>
      </c>
      <c r="F16" s="104">
        <f>SUM('Admin 110:Committee Travel 250'!F16)</f>
        <v>147000</v>
      </c>
      <c r="G16" s="13">
        <f>SUM('Admin 110:Green Fund 270'!G16)</f>
        <v>175327</v>
      </c>
      <c r="H16" s="62"/>
      <c r="I16" s="13">
        <f>SUM('Admin 110:Green Fund 270'!I16)</f>
        <v>159426</v>
      </c>
      <c r="J16" s="13">
        <f>SUM('Admin 110:Green Fund 270'!J16)</f>
        <v>129897</v>
      </c>
      <c r="K16" s="13">
        <f>SUM('Admin 110:Green Fund 270'!K16)</f>
        <v>139921</v>
      </c>
      <c r="L16" s="13">
        <f>SUM('Admin 110:Green Fund 270'!L16)</f>
        <v>143953</v>
      </c>
    </row>
    <row r="17" spans="1:12" x14ac:dyDescent="0.2">
      <c r="A17" s="1"/>
      <c r="B17" s="1"/>
      <c r="C17" s="1"/>
      <c r="D17" s="1"/>
      <c r="E17" s="43" t="s">
        <v>62</v>
      </c>
      <c r="F17" s="104">
        <f>SUM('Admin 110:Committee Travel 250'!F17)</f>
        <v>75500</v>
      </c>
      <c r="G17" s="13">
        <f>SUM('Admin 110:Green Fund 270'!G17)</f>
        <v>36000</v>
      </c>
      <c r="H17" s="62"/>
      <c r="I17" s="13">
        <f>SUM('Admin 110:Green Fund 270'!I17)</f>
        <v>42225</v>
      </c>
      <c r="J17" s="13">
        <f>SUM('Admin 110:Moir 260'!J17)</f>
        <v>45206</v>
      </c>
      <c r="K17" s="13">
        <f>SUM('Admin 110:Green Fund 270'!K17)</f>
        <v>58400</v>
      </c>
      <c r="L17" s="13">
        <f>SUM('Admin 110:Green Fund 270'!L17)</f>
        <v>49100</v>
      </c>
    </row>
    <row r="18" spans="1:12" x14ac:dyDescent="0.2">
      <c r="A18" s="1"/>
      <c r="B18" s="1"/>
      <c r="C18" s="1"/>
      <c r="D18" s="1"/>
      <c r="E18" s="43" t="s">
        <v>63</v>
      </c>
      <c r="F18" s="104">
        <f>SUM('Admin 110:Committee Travel 250'!F18)</f>
        <v>15400</v>
      </c>
      <c r="G18" s="13">
        <f>SUM('Admin 110:Green Fund 270'!G18)</f>
        <v>20000</v>
      </c>
      <c r="H18" s="62"/>
      <c r="I18" s="13">
        <f>SUM('Admin 110:Green Fund 270'!I18)</f>
        <v>10158</v>
      </c>
      <c r="J18" s="13">
        <f>SUM('Admin 110:Moir 260'!J18)</f>
        <v>5481.7</v>
      </c>
      <c r="K18" s="13">
        <f>SUM('Admin 110:Green Fund 270'!K18)</f>
        <v>14700</v>
      </c>
      <c r="L18" s="13">
        <f>SUM('Admin 110:Green Fund 270'!L18)</f>
        <v>14700</v>
      </c>
    </row>
    <row r="19" spans="1:12" x14ac:dyDescent="0.2">
      <c r="A19" s="1"/>
      <c r="B19" s="1"/>
      <c r="C19" s="1"/>
      <c r="D19" s="1"/>
      <c r="E19" s="43" t="s">
        <v>64</v>
      </c>
      <c r="F19" s="104">
        <f>SUM('Admin 110:Committee Travel 250'!F19)</f>
        <v>6600</v>
      </c>
      <c r="G19" s="13">
        <f>SUM('Admin 110:Green Fund 270'!G19)</f>
        <v>43000</v>
      </c>
      <c r="H19" s="62"/>
      <c r="I19" s="13">
        <f>SUM('Admin 110:Green Fund 270'!I19)</f>
        <v>14788</v>
      </c>
      <c r="J19" s="13">
        <f>SUM('Admin 110:Moir 260'!J19)</f>
        <v>18948</v>
      </c>
      <c r="K19" s="13">
        <f>SUM('Admin 110:Green Fund 270'!K19)</f>
        <v>25600</v>
      </c>
      <c r="L19" s="13">
        <f>SUM('Admin 110:Green Fund 270'!L19)</f>
        <v>47000</v>
      </c>
    </row>
    <row r="20" spans="1:12" x14ac:dyDescent="0.2">
      <c r="A20" s="1"/>
      <c r="B20" s="1"/>
      <c r="C20" s="1"/>
      <c r="D20" s="1"/>
      <c r="E20" s="43" t="s">
        <v>65</v>
      </c>
      <c r="F20" s="104">
        <f>SUM('Admin 110:Committee Travel 250'!F20)</f>
        <v>48500</v>
      </c>
      <c r="G20" s="13">
        <f>SUM('Admin 110:Green Fund 270'!G20)</f>
        <v>42000</v>
      </c>
      <c r="H20" s="62"/>
      <c r="I20" s="13">
        <f>SUM('Admin 110:Green Fund 270'!I20)</f>
        <v>42100</v>
      </c>
      <c r="J20" s="13">
        <f>SUM('Admin 110:Moir 260'!J20)</f>
        <v>34055</v>
      </c>
      <c r="K20" s="13">
        <f>SUM('Admin 110:Green Fund 270'!K20)</f>
        <v>34000</v>
      </c>
      <c r="L20" s="13">
        <f>SUM('Admin 110:Green Fund 270'!L20)</f>
        <v>34500</v>
      </c>
    </row>
    <row r="21" spans="1:12" x14ac:dyDescent="0.2">
      <c r="A21" s="1"/>
      <c r="B21" s="1"/>
      <c r="C21" s="1"/>
      <c r="D21" s="1"/>
      <c r="E21" s="43" t="s">
        <v>66</v>
      </c>
      <c r="F21" s="104">
        <f>SUM('Admin 110:Committee Travel 250'!F21)</f>
        <v>2817</v>
      </c>
      <c r="G21" s="13">
        <f>SUM('Admin 110:Green Fund 270'!G21)</f>
        <v>2418</v>
      </c>
      <c r="H21" s="62"/>
      <c r="I21" s="13">
        <f>SUM('Admin 110:Green Fund 270'!I21)</f>
        <v>1000</v>
      </c>
      <c r="J21" s="13">
        <f>SUM('Admin 110:Moir 260'!J21)</f>
        <v>0</v>
      </c>
      <c r="K21" s="13">
        <f>SUM('Admin 110:Green Fund 270'!K21)</f>
        <v>1915.72</v>
      </c>
      <c r="L21" s="13">
        <f>SUM('Admin 110:Green Fund 270'!L21)</f>
        <v>1800</v>
      </c>
    </row>
    <row r="22" spans="1:12" x14ac:dyDescent="0.2">
      <c r="A22" s="1"/>
      <c r="B22" s="1"/>
      <c r="C22" s="1"/>
      <c r="D22" s="1"/>
      <c r="E22" s="43" t="s">
        <v>67</v>
      </c>
      <c r="F22" s="104">
        <f>SUM('Admin 110:Committee Travel 250'!F22)</f>
        <v>69585</v>
      </c>
      <c r="G22" s="13">
        <f>SUM('Admin 110:Green Fund 270'!G22)</f>
        <v>57107</v>
      </c>
      <c r="H22" s="62"/>
      <c r="I22" s="13">
        <f>SUM('Admin 110:Green Fund 270'!I22)</f>
        <v>69585</v>
      </c>
      <c r="J22" s="13">
        <f>SUM('Admin 110:Moir 260'!J22)</f>
        <v>57107</v>
      </c>
      <c r="K22" s="13">
        <f>SUM('Admin 110:Green Fund 270'!K22)</f>
        <v>56547</v>
      </c>
      <c r="L22" s="13">
        <f>SUM('Admin 110:Green Fund 270'!L22)</f>
        <v>57000</v>
      </c>
    </row>
    <row r="23" spans="1:12" x14ac:dyDescent="0.2">
      <c r="A23" s="1"/>
      <c r="B23" s="1"/>
      <c r="C23" s="1"/>
      <c r="D23" s="1"/>
      <c r="E23" s="43" t="s">
        <v>68</v>
      </c>
      <c r="F23" s="104">
        <f>SUM('Admin 110:Committee Travel 250'!F23)</f>
        <v>2000</v>
      </c>
      <c r="G23" s="13">
        <f>SUM('Admin 110:Green Fund 270'!G23)</f>
        <v>2000</v>
      </c>
      <c r="H23" s="62"/>
      <c r="I23" s="13">
        <f>SUM('Admin 110:Green Fund 270'!I23)</f>
        <v>3848</v>
      </c>
      <c r="J23" s="13">
        <f>SUM('Admin 110:Moir 260'!J23)</f>
        <v>1958</v>
      </c>
      <c r="K23" s="13">
        <f>SUM('Admin 110:Green Fund 270'!K23)</f>
        <v>1000</v>
      </c>
      <c r="L23" s="13">
        <f>SUM('Admin 110:Green Fund 270'!L23)</f>
        <v>1000</v>
      </c>
    </row>
    <row r="24" spans="1:12" x14ac:dyDescent="0.2">
      <c r="A24" s="1"/>
      <c r="B24" s="1"/>
      <c r="C24" s="1"/>
      <c r="D24" s="1"/>
      <c r="E24" s="43" t="s">
        <v>14</v>
      </c>
      <c r="F24" s="104">
        <f>SUM('Admin 110:Committee Travel 250'!F24)</f>
        <v>0</v>
      </c>
      <c r="G24" s="13">
        <f>SUM('Admin 110:Green Fund 270'!G24)</f>
        <v>0</v>
      </c>
      <c r="H24" s="62"/>
      <c r="I24" s="13">
        <f>SUM('Admin 110:Green Fund 270'!I24)</f>
        <v>0</v>
      </c>
      <c r="J24" s="13">
        <f>SUM('Admin 110:Moir 260'!J24)</f>
        <v>0</v>
      </c>
      <c r="K24" s="13">
        <f>SUM('Admin 110:Green Fund 270'!K24)</f>
        <v>0</v>
      </c>
      <c r="L24" s="13">
        <f>SUM('Admin 110:Green Fund 270'!L24)</f>
        <v>0</v>
      </c>
    </row>
    <row r="25" spans="1:12" ht="16" thickBot="1" x14ac:dyDescent="0.25">
      <c r="A25" s="1"/>
      <c r="B25" s="1"/>
      <c r="C25" s="1"/>
      <c r="D25" s="1" t="s">
        <v>7</v>
      </c>
      <c r="E25" s="31"/>
      <c r="F25" s="104">
        <f>SUM(F16:F24)</f>
        <v>367402</v>
      </c>
      <c r="G25" s="13">
        <f>SUM(G16:G24)</f>
        <v>377852</v>
      </c>
      <c r="H25" s="62"/>
      <c r="I25" s="13">
        <f>SUM(I16:I24)</f>
        <v>343130</v>
      </c>
      <c r="J25" s="13">
        <f>SUM(J16:J24)</f>
        <v>292652.7</v>
      </c>
      <c r="K25" s="13">
        <f>SUM(K16:K24)</f>
        <v>332083.71999999997</v>
      </c>
      <c r="L25" s="13">
        <f>SUM(L16:L24)</f>
        <v>349053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107">
        <f>F14-F25</f>
        <v>-133298</v>
      </c>
      <c r="G26" s="10">
        <f>G14-G25</f>
        <v>-84843</v>
      </c>
      <c r="I26" s="50">
        <f>I14-I25</f>
        <v>-95423</v>
      </c>
      <c r="J26" s="50">
        <f>J14-J25</f>
        <v>-70293.670000000013</v>
      </c>
      <c r="K26" s="50">
        <f>K14-K25</f>
        <v>-95694.51999999996</v>
      </c>
      <c r="L26" s="50">
        <f>L14-L25</f>
        <v>-50878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04"/>
      <c r="G27" s="13"/>
      <c r="I27" s="47"/>
      <c r="J27" s="47"/>
      <c r="K27" s="47"/>
      <c r="L27" s="47"/>
    </row>
    <row r="28" spans="1:12" x14ac:dyDescent="0.2">
      <c r="A28" s="1"/>
      <c r="B28" s="1"/>
      <c r="C28" s="1" t="s">
        <v>8</v>
      </c>
      <c r="D28" s="1"/>
      <c r="E28" s="31"/>
      <c r="F28" s="104"/>
      <c r="G28" s="13"/>
      <c r="I28" s="47"/>
      <c r="J28" s="47"/>
      <c r="K28" s="47"/>
      <c r="L28" s="47"/>
    </row>
    <row r="29" spans="1:12" x14ac:dyDescent="0.2">
      <c r="A29" s="1"/>
      <c r="B29" s="1"/>
      <c r="C29" s="1"/>
      <c r="D29" s="41"/>
      <c r="E29" s="43" t="s">
        <v>69</v>
      </c>
      <c r="F29" s="104">
        <f>SUM('Admin 110:Committee Travel 250'!F29)</f>
        <v>48000</v>
      </c>
      <c r="G29" s="13">
        <f>SUM('Admin 110:Committee Travel 250'!G29)</f>
        <v>56500</v>
      </c>
      <c r="H29" s="62"/>
      <c r="I29" s="13">
        <f>SUM('Admin 110:Green Fund 270'!I29)</f>
        <v>28669</v>
      </c>
      <c r="J29" s="13">
        <f>SUM('Admin 110:Green Fund 270'!J29)</f>
        <v>0</v>
      </c>
      <c r="K29" s="13">
        <f>SUM('Admin 110:Green Fund 270'!K29)</f>
        <v>65632.224000000002</v>
      </c>
      <c r="L29" s="13">
        <f>SUM('Admin 110:Green Fund 270'!L29)</f>
        <v>44374.999999999993</v>
      </c>
    </row>
    <row r="30" spans="1:12" x14ac:dyDescent="0.2">
      <c r="A30" s="1"/>
      <c r="B30" s="1"/>
      <c r="C30" s="1"/>
      <c r="D30" s="44"/>
      <c r="E30" s="63" t="s">
        <v>16</v>
      </c>
      <c r="F30" s="104">
        <f>SUM('Admin 110:Committee Travel 250'!F30)</f>
        <v>45000</v>
      </c>
      <c r="G30" s="13">
        <f>SUM('Admin 110:Committee Travel 250'!G30)</f>
        <v>0</v>
      </c>
      <c r="H30" s="62"/>
      <c r="I30" s="13">
        <f>SUM('Admin 110:Green Fund 270'!I30)</f>
        <v>0</v>
      </c>
      <c r="J30" s="13">
        <f>SUM('Admin 110:Green Fund 270'!J30)</f>
        <v>0</v>
      </c>
      <c r="K30" s="13">
        <f>SUM('Admin 110:Green Fund 270'!K30)</f>
        <v>0</v>
      </c>
      <c r="L30" s="13">
        <f>SUM('Admin 110:Green Fund 270'!L30)</f>
        <v>0</v>
      </c>
    </row>
    <row r="31" spans="1:12" x14ac:dyDescent="0.2">
      <c r="A31" s="1"/>
      <c r="B31" s="1"/>
      <c r="C31" s="1"/>
      <c r="D31" s="41"/>
      <c r="E31" s="43" t="s">
        <v>70</v>
      </c>
      <c r="F31" s="104">
        <f>SUM('Admin 110:Committee Travel 250'!F31)</f>
        <v>0</v>
      </c>
      <c r="G31" s="13">
        <f>SUM('Admin 110:Committee Travel 250'!G31)</f>
        <v>0</v>
      </c>
      <c r="H31" s="64"/>
      <c r="I31" s="13">
        <f>SUM('Admin 110:Green Fund 270'!I31)</f>
        <v>-18947</v>
      </c>
      <c r="J31" s="13">
        <f>SUM('Admin 110:Green Fund 270'!J31)</f>
        <v>5982</v>
      </c>
      <c r="K31" s="13">
        <f>SUM('Admin 110:Green Fund 270'!K31)</f>
        <v>0</v>
      </c>
      <c r="L31" s="13">
        <f>SUM('Admin 110:Green Fund 270'!L31)</f>
        <v>0</v>
      </c>
    </row>
    <row r="32" spans="1:12" x14ac:dyDescent="0.2">
      <c r="A32" s="1"/>
      <c r="B32" s="1"/>
      <c r="C32" s="1" t="s">
        <v>10</v>
      </c>
      <c r="D32" s="1"/>
      <c r="E32" s="31"/>
      <c r="F32" s="104">
        <f t="shared" ref="F32:G32" si="0">SUM(F28:F31)</f>
        <v>93000</v>
      </c>
      <c r="G32" s="13">
        <f t="shared" si="0"/>
        <v>56500</v>
      </c>
      <c r="I32" s="47">
        <f>SUM(I28:I31)</f>
        <v>9722</v>
      </c>
      <c r="J32" s="47">
        <f t="shared" ref="J32" si="1">SUM(J28:J31)</f>
        <v>5982</v>
      </c>
      <c r="K32" s="47">
        <f t="shared" ref="K32:L32" si="2">SUM(K28:K31)</f>
        <v>65632.224000000002</v>
      </c>
      <c r="L32" s="47">
        <f t="shared" si="2"/>
        <v>44374.999999999993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04"/>
      <c r="G33" s="13"/>
      <c r="I33" s="47"/>
      <c r="J33" s="47"/>
      <c r="K33" s="47"/>
      <c r="L33" s="47"/>
    </row>
    <row r="34" spans="1:12" ht="16" thickBot="1" x14ac:dyDescent="0.25">
      <c r="A34" s="1"/>
      <c r="B34" s="1"/>
      <c r="C34" s="1"/>
      <c r="D34" s="41" t="s">
        <v>71</v>
      </c>
      <c r="E34" s="31"/>
      <c r="F34" s="95">
        <f>SUM('Admin 110:Committee Travel 250'!F34)</f>
        <v>0</v>
      </c>
      <c r="G34" s="13">
        <f>SUM('Admin 110:Committee Travel 250'!G34)</f>
        <v>0</v>
      </c>
      <c r="I34" s="94">
        <f>SUM('Admin 110:Social Enterprise 170'!I34)+'subtotal Board Designated'!I34</f>
        <v>137</v>
      </c>
      <c r="J34" s="94">
        <f>SUM('Admin 110:Social Enterprise 170'!J34)+'subtotal Board Designated'!J34</f>
        <v>0</v>
      </c>
      <c r="K34" s="94">
        <f>SUM('Admin 110:Social Enterprise 170'!K34)+'subtotal Board Designated'!K34</f>
        <v>0</v>
      </c>
      <c r="L34" s="94">
        <f>SUM('Admin 110:Social Enterprise 170'!L34)+'subtotal Board Designated'!L34</f>
        <v>0</v>
      </c>
    </row>
    <row r="35" spans="1:12" ht="16" thickBot="1" x14ac:dyDescent="0.25">
      <c r="A35" s="1"/>
      <c r="B35" s="1"/>
      <c r="C35" s="1" t="s">
        <v>12</v>
      </c>
      <c r="D35" s="1"/>
      <c r="E35" s="31"/>
      <c r="F35" s="106">
        <f t="shared" ref="F35:G35" si="3">F34</f>
        <v>0</v>
      </c>
      <c r="G35" s="14">
        <f t="shared" si="3"/>
        <v>0</v>
      </c>
      <c r="H35" s="62"/>
      <c r="I35" s="13">
        <f>I34</f>
        <v>137</v>
      </c>
      <c r="J35" s="51">
        <f t="shared" ref="J35" si="4">J34</f>
        <v>0</v>
      </c>
      <c r="K35" s="51">
        <f t="shared" ref="K35:L35" si="5">K34</f>
        <v>0</v>
      </c>
      <c r="L35" s="51">
        <f t="shared" si="5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05">
        <f t="shared" ref="F36:G36" si="6">F32-F35</f>
        <v>93000</v>
      </c>
      <c r="G36" s="14">
        <f t="shared" si="6"/>
        <v>56500</v>
      </c>
      <c r="I36" s="51">
        <f t="shared" ref="I36" si="7">I32-I35</f>
        <v>9585</v>
      </c>
      <c r="J36" s="51">
        <f t="shared" ref="J36" si="8">J32-J35</f>
        <v>5982</v>
      </c>
      <c r="K36" s="51">
        <f t="shared" ref="K36:L36" si="9">K32-K35</f>
        <v>65632.224000000002</v>
      </c>
      <c r="L36" s="51">
        <f t="shared" si="9"/>
        <v>44374.999999999993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0">F36+F26</f>
        <v>-40298</v>
      </c>
      <c r="G37" s="16">
        <f t="shared" si="10"/>
        <v>-28343</v>
      </c>
      <c r="I37" s="52">
        <f t="shared" ref="I37" si="11">I36+I26</f>
        <v>-85838</v>
      </c>
      <c r="J37" s="52">
        <f t="shared" ref="J37" si="12">J36+J26</f>
        <v>-64311.670000000013</v>
      </c>
      <c r="K37" s="52">
        <f t="shared" ref="K37:L37" si="13">K36+K26</f>
        <v>-30062.295999999958</v>
      </c>
      <c r="L37" s="52">
        <f t="shared" si="13"/>
        <v>-6503.0000000000073</v>
      </c>
    </row>
    <row r="38" spans="1:12" ht="17" thickTop="1" thickBot="1" x14ac:dyDescent="0.25">
      <c r="E38" s="33"/>
      <c r="F38" s="29"/>
      <c r="G38" s="30"/>
      <c r="I38" s="53"/>
      <c r="J38" s="53"/>
      <c r="K38" s="53"/>
      <c r="L38" s="53"/>
    </row>
    <row r="39" spans="1:12" ht="16" thickTop="1" x14ac:dyDescent="0.2"/>
    <row r="40" spans="1:12" x14ac:dyDescent="0.2">
      <c r="H40" s="118" t="s">
        <v>111</v>
      </c>
      <c r="I40" s="120">
        <f>I4+I37</f>
        <v>361347</v>
      </c>
      <c r="J40" s="120">
        <f>J4+J37</f>
        <v>294888.32999999996</v>
      </c>
      <c r="K40" s="120">
        <f t="shared" ref="K40:L40" si="14">K4+K37</f>
        <v>264826.03399999999</v>
      </c>
      <c r="L40" s="120">
        <f t="shared" si="14"/>
        <v>258323.03399999999</v>
      </c>
    </row>
  </sheetData>
  <printOptions headings="1"/>
  <pageMargins left="0.25" right="0.25" top="0.75" bottom="0.75" header="0.3" footer="0.3"/>
  <pageSetup scale="67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I2" s="19"/>
    </row>
    <row r="3" spans="1:12" ht="18" x14ac:dyDescent="0.2">
      <c r="A3" s="1"/>
      <c r="B3" s="1"/>
      <c r="C3" s="1"/>
      <c r="D3" s="1"/>
      <c r="E3" s="76" t="s">
        <v>46</v>
      </c>
      <c r="G3" s="21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6"/>
      <c r="G4" s="21"/>
      <c r="H4" s="118" t="s">
        <v>112</v>
      </c>
      <c r="I4" s="119">
        <v>174627</v>
      </c>
      <c r="J4" s="141">
        <f>I40</f>
        <v>170060</v>
      </c>
      <c r="K4" s="140">
        <f>J40</f>
        <v>181640</v>
      </c>
      <c r="L4" s="140">
        <f>K40</f>
        <v>174101.4</v>
      </c>
    </row>
    <row r="5" spans="1:12" ht="16" thickBot="1" x14ac:dyDescent="0.25">
      <c r="A5" s="1"/>
      <c r="B5" s="1"/>
      <c r="C5" s="1"/>
      <c r="D5" s="1"/>
      <c r="E5" s="66"/>
      <c r="F5" s="21"/>
      <c r="G5" s="60"/>
      <c r="I5" s="60"/>
      <c r="J5"/>
      <c r="K5"/>
      <c r="L5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23" t="s">
        <v>19</v>
      </c>
      <c r="G6" s="45" t="s">
        <v>20</v>
      </c>
      <c r="I6" s="45" t="s">
        <v>26</v>
      </c>
      <c r="J6" s="305" t="s">
        <v>187</v>
      </c>
      <c r="K6" s="45" t="s">
        <v>17</v>
      </c>
      <c r="L6" s="45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v>8109</v>
      </c>
      <c r="G13" s="13">
        <v>6479</v>
      </c>
      <c r="H13" s="62"/>
      <c r="I13" s="97">
        <v>7071</v>
      </c>
      <c r="J13" s="47">
        <v>7504</v>
      </c>
      <c r="K13" s="13">
        <v>6213.4</v>
      </c>
      <c r="L13" s="13">
        <v>6300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8109</v>
      </c>
      <c r="G14" s="8">
        <f>SUM(G9:G13)</f>
        <v>6479</v>
      </c>
      <c r="H14" s="62"/>
      <c r="I14" s="8">
        <f>SUM(I9:I13)</f>
        <v>7071</v>
      </c>
      <c r="J14" s="49">
        <f>SUM(J9:J13)</f>
        <v>7504</v>
      </c>
      <c r="K14" s="8">
        <f>SUM(K9:K13)</f>
        <v>6213.4</v>
      </c>
      <c r="L14" s="8">
        <f>SUM(L9:L13)</f>
        <v>6300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3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3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8109</v>
      </c>
      <c r="G26" s="10">
        <f t="shared" si="0"/>
        <v>6479</v>
      </c>
      <c r="H26" s="70"/>
      <c r="I26" s="10">
        <f t="shared" ref="I26" si="1">I14-I25</f>
        <v>7071</v>
      </c>
      <c r="J26" s="50">
        <f t="shared" ref="J26:K26" si="2">J14-J25</f>
        <v>7504</v>
      </c>
      <c r="K26" s="10">
        <f t="shared" si="2"/>
        <v>6213.4</v>
      </c>
      <c r="L26" s="10">
        <f t="shared" ref="L26" si="3">L14-L25</f>
        <v>6300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>
        <f>-13752</f>
        <v>-13752</v>
      </c>
      <c r="L29" s="35">
        <f>-13800</f>
        <v>-13800</v>
      </c>
      <c r="M29" s="115" t="s">
        <v>129</v>
      </c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>
        <v>-11638</v>
      </c>
      <c r="J31" s="56">
        <v>4076</v>
      </c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-11638</v>
      </c>
      <c r="J32" s="47">
        <f t="shared" ref="J32:K32" si="5">SUM(J28:J31)</f>
        <v>4076</v>
      </c>
      <c r="K32" s="13">
        <f t="shared" si="5"/>
        <v>-13752</v>
      </c>
      <c r="L32" s="13">
        <f t="shared" ref="L32" si="6">SUM(L28:L31)</f>
        <v>-13800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-11638</v>
      </c>
      <c r="J36" s="51">
        <f t="shared" ref="J36:K36" si="13">J32-J35</f>
        <v>4076</v>
      </c>
      <c r="K36" s="14">
        <f t="shared" si="13"/>
        <v>-13752</v>
      </c>
      <c r="L36" s="14">
        <f t="shared" ref="L36" si="14">L32-L35</f>
        <v>-13800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8109</v>
      </c>
      <c r="G37" s="16">
        <f t="shared" si="15"/>
        <v>6479</v>
      </c>
      <c r="I37" s="52">
        <f t="shared" ref="I37" si="16">I36+I26</f>
        <v>-4567</v>
      </c>
      <c r="J37" s="52">
        <f t="shared" ref="J37:K37" si="17">J36+J26</f>
        <v>11580</v>
      </c>
      <c r="K37" s="16">
        <f t="shared" si="17"/>
        <v>-7538.6</v>
      </c>
      <c r="L37" s="16">
        <f t="shared" ref="L37" si="18">L36+L26</f>
        <v>-7500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170060</v>
      </c>
      <c r="J40" s="120">
        <f>J4+J37</f>
        <v>181640</v>
      </c>
      <c r="K40" s="120">
        <f t="shared" ref="K40:L40" si="19">K4+K37</f>
        <v>174101.4</v>
      </c>
      <c r="L40" s="120">
        <f t="shared" si="19"/>
        <v>166601.4</v>
      </c>
    </row>
  </sheetData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0"/>
  <sheetViews>
    <sheetView zoomScale="150" zoomScaleNormal="150" zoomScalePageLayoutView="150" workbookViewId="0">
      <selection activeCell="M25" sqref="M25"/>
    </sheetView>
  </sheetViews>
  <sheetFormatPr baseColWidth="10" defaultColWidth="10.83203125" defaultRowHeight="14" x14ac:dyDescent="0.15"/>
  <cols>
    <col min="1" max="1" width="27.6640625" style="142" customWidth="1"/>
    <col min="2" max="2" width="10" style="142" customWidth="1"/>
    <col min="3" max="3" width="10.33203125" style="142" customWidth="1"/>
    <col min="4" max="4" width="11.83203125" style="142" customWidth="1"/>
    <col min="5" max="5" width="8.5" style="142" customWidth="1"/>
    <col min="6" max="6" width="9.5" style="142" customWidth="1"/>
    <col min="7" max="7" width="3.33203125" style="142" customWidth="1"/>
    <col min="8" max="8" width="10.5" style="142" customWidth="1"/>
    <col min="9" max="9" width="11" style="142" customWidth="1"/>
    <col min="10" max="10" width="1.6640625" style="142" customWidth="1"/>
    <col min="11" max="16384" width="10.83203125" style="142"/>
  </cols>
  <sheetData>
    <row r="1" spans="1:11" s="144" customFormat="1" ht="23" customHeight="1" x14ac:dyDescent="0.2">
      <c r="A1" s="148" t="s">
        <v>100</v>
      </c>
    </row>
    <row r="2" spans="1:11" s="144" customFormat="1" ht="41" customHeight="1" x14ac:dyDescent="0.2">
      <c r="A2" s="143"/>
      <c r="B2" s="298" t="s">
        <v>90</v>
      </c>
      <c r="C2" s="299"/>
      <c r="E2" s="298" t="s">
        <v>102</v>
      </c>
      <c r="F2" s="299"/>
      <c r="H2" s="300" t="s">
        <v>131</v>
      </c>
      <c r="I2" s="299"/>
      <c r="J2" s="151"/>
      <c r="K2" s="150" t="s">
        <v>103</v>
      </c>
    </row>
    <row r="3" spans="1:11" s="143" customFormat="1" ht="49" customHeight="1" x14ac:dyDescent="0.2">
      <c r="A3" s="143" t="s">
        <v>101</v>
      </c>
      <c r="B3" s="266" t="s">
        <v>91</v>
      </c>
      <c r="C3" s="266" t="s">
        <v>92</v>
      </c>
      <c r="D3" s="149"/>
      <c r="E3" s="267" t="s">
        <v>91</v>
      </c>
      <c r="F3" s="267" t="s">
        <v>93</v>
      </c>
      <c r="G3" s="149"/>
      <c r="H3" s="273" t="s">
        <v>91</v>
      </c>
      <c r="I3" s="273" t="s">
        <v>93</v>
      </c>
      <c r="J3" s="145"/>
    </row>
    <row r="4" spans="1:11" s="144" customFormat="1" ht="16" x14ac:dyDescent="0.2">
      <c r="A4" s="144" t="s">
        <v>94</v>
      </c>
      <c r="B4" s="262">
        <v>0.23</v>
      </c>
      <c r="C4" s="254">
        <v>0.21</v>
      </c>
      <c r="E4" s="268">
        <v>0.1</v>
      </c>
      <c r="F4" s="258">
        <v>0.1</v>
      </c>
      <c r="H4" s="274">
        <f>H17*B4</f>
        <v>4600</v>
      </c>
      <c r="I4" s="274">
        <f>I17*C4</f>
        <v>4515</v>
      </c>
      <c r="J4" s="146"/>
    </row>
    <row r="5" spans="1:11" s="144" customFormat="1" ht="16" x14ac:dyDescent="0.2">
      <c r="A5" s="144" t="s">
        <v>95</v>
      </c>
      <c r="B5" s="262">
        <v>0.22</v>
      </c>
      <c r="C5" s="254">
        <v>0.2</v>
      </c>
      <c r="E5" s="269">
        <v>0</v>
      </c>
      <c r="F5" s="258">
        <v>0</v>
      </c>
      <c r="H5" s="275">
        <f>H17*B5</f>
        <v>4400</v>
      </c>
      <c r="I5" s="275">
        <f>I17*C5</f>
        <v>4300</v>
      </c>
      <c r="J5" s="146"/>
    </row>
    <row r="6" spans="1:11" s="144" customFormat="1" ht="16" x14ac:dyDescent="0.2">
      <c r="A6" s="144" t="s">
        <v>96</v>
      </c>
      <c r="B6" s="262">
        <v>0.01</v>
      </c>
      <c r="C6" s="254">
        <v>0.01</v>
      </c>
      <c r="E6" s="269">
        <v>0</v>
      </c>
      <c r="F6" s="258">
        <v>0</v>
      </c>
      <c r="H6" s="275">
        <f>H17*B6</f>
        <v>200</v>
      </c>
      <c r="I6" s="275">
        <f>I17*C6</f>
        <v>215</v>
      </c>
      <c r="J6" s="146"/>
    </row>
    <row r="7" spans="1:11" s="144" customFormat="1" ht="16" x14ac:dyDescent="0.2">
      <c r="A7" s="144" t="s">
        <v>97</v>
      </c>
      <c r="B7" s="262">
        <v>0.04</v>
      </c>
      <c r="C7" s="254">
        <v>0.21</v>
      </c>
      <c r="E7" s="269">
        <v>4.3999999999999997E-2</v>
      </c>
      <c r="F7" s="258">
        <v>0.45</v>
      </c>
      <c r="H7" s="275">
        <f>H17*B7</f>
        <v>800</v>
      </c>
      <c r="I7" s="275">
        <f>I17*C7</f>
        <v>4515</v>
      </c>
      <c r="J7" s="146"/>
    </row>
    <row r="8" spans="1:11" s="144" customFormat="1" ht="16" x14ac:dyDescent="0.2">
      <c r="A8" s="144" t="s">
        <v>98</v>
      </c>
      <c r="B8" s="262">
        <v>0.26</v>
      </c>
      <c r="C8" s="254">
        <v>0.21</v>
      </c>
      <c r="E8" s="269">
        <v>0.6</v>
      </c>
      <c r="F8" s="258">
        <v>0.2</v>
      </c>
      <c r="H8" s="275">
        <f>H17*B8</f>
        <v>5200</v>
      </c>
      <c r="I8" s="275">
        <f>I17*C8</f>
        <v>4515</v>
      </c>
      <c r="J8" s="146"/>
    </row>
    <row r="9" spans="1:11" s="144" customFormat="1" ht="17" thickBot="1" x14ac:dyDescent="0.25">
      <c r="A9" s="144" t="s">
        <v>99</v>
      </c>
      <c r="B9" s="263">
        <v>0.24</v>
      </c>
      <c r="C9" s="255">
        <v>0.16</v>
      </c>
      <c r="D9" s="147"/>
      <c r="E9" s="270">
        <v>0.26</v>
      </c>
      <c r="F9" s="259">
        <v>0.25</v>
      </c>
      <c r="G9" s="147"/>
      <c r="H9" s="276">
        <f>H17*B9</f>
        <v>4800</v>
      </c>
      <c r="I9" s="276">
        <f>I17*C9</f>
        <v>3440</v>
      </c>
      <c r="J9" s="152"/>
    </row>
    <row r="10" spans="1:11" s="144" customFormat="1" ht="20" customHeight="1" x14ac:dyDescent="0.2">
      <c r="B10" s="262">
        <f>SUM(B4:B9)</f>
        <v>1</v>
      </c>
      <c r="C10" s="254">
        <f>SUM(C4:C9)</f>
        <v>1</v>
      </c>
      <c r="E10" s="269">
        <f>SUM(E4:E9)</f>
        <v>1.004</v>
      </c>
      <c r="F10" s="258">
        <f>SUM(F4:F9)</f>
        <v>1</v>
      </c>
      <c r="H10" s="277">
        <f>SUM(H4:H9)</f>
        <v>20000</v>
      </c>
      <c r="I10" s="277">
        <f>SUM(I4:I9)</f>
        <v>21500</v>
      </c>
      <c r="J10" s="146"/>
      <c r="K10" s="253"/>
    </row>
    <row r="11" spans="1:11" x14ac:dyDescent="0.15">
      <c r="B11" s="264"/>
      <c r="C11" s="256"/>
      <c r="E11" s="271"/>
      <c r="F11" s="260"/>
    </row>
    <row r="12" spans="1:11" x14ac:dyDescent="0.15">
      <c r="A12" s="251" t="s">
        <v>116</v>
      </c>
      <c r="B12" s="265">
        <v>146000</v>
      </c>
      <c r="C12" s="257">
        <v>151000</v>
      </c>
      <c r="D12" s="252"/>
      <c r="E12" s="272">
        <v>20000</v>
      </c>
      <c r="F12" s="261">
        <v>21000</v>
      </c>
    </row>
    <row r="13" spans="1:11" x14ac:dyDescent="0.15">
      <c r="H13" s="297">
        <v>12000</v>
      </c>
      <c r="I13" s="297">
        <v>12000</v>
      </c>
      <c r="K13" s="142" t="s">
        <v>132</v>
      </c>
    </row>
    <row r="14" spans="1:11" x14ac:dyDescent="0.15">
      <c r="H14" s="297">
        <v>0</v>
      </c>
      <c r="I14" s="297">
        <v>1500</v>
      </c>
      <c r="K14" s="142" t="s">
        <v>133</v>
      </c>
    </row>
    <row r="15" spans="1:11" x14ac:dyDescent="0.15">
      <c r="H15" s="297">
        <v>6000</v>
      </c>
      <c r="I15" s="297">
        <v>6000</v>
      </c>
      <c r="K15" s="142" t="s">
        <v>135</v>
      </c>
    </row>
    <row r="16" spans="1:11" x14ac:dyDescent="0.15">
      <c r="H16" s="297">
        <v>2000</v>
      </c>
      <c r="I16" s="297">
        <v>2000</v>
      </c>
      <c r="K16" s="142" t="s">
        <v>134</v>
      </c>
    </row>
    <row r="17" spans="1:9" x14ac:dyDescent="0.15">
      <c r="H17" s="297">
        <f>SUM(H13:H16)</f>
        <v>20000</v>
      </c>
      <c r="I17" s="297">
        <f>SUM(I13:I16)</f>
        <v>21500</v>
      </c>
    </row>
    <row r="20" spans="1:9" ht="29" customHeight="1" x14ac:dyDescent="0.2">
      <c r="A20" s="279"/>
      <c r="B20" s="301" t="s">
        <v>90</v>
      </c>
      <c r="C20" s="299"/>
      <c r="D20" s="302"/>
      <c r="E20"/>
    </row>
    <row r="21" spans="1:9" ht="16" x14ac:dyDescent="0.2">
      <c r="A21" s="279" t="s">
        <v>101</v>
      </c>
      <c r="B21" s="280" t="s">
        <v>91</v>
      </c>
      <c r="D21" s="280" t="s">
        <v>92</v>
      </c>
      <c r="E21"/>
    </row>
    <row r="22" spans="1:9" ht="16" x14ac:dyDescent="0.2">
      <c r="A22" s="144" t="s">
        <v>94</v>
      </c>
      <c r="B22" s="262">
        <v>0.23</v>
      </c>
      <c r="C22" s="281">
        <f>B30*B22</f>
        <v>32181.83</v>
      </c>
      <c r="D22" s="254">
        <v>0.21</v>
      </c>
      <c r="E22" s="281">
        <f>D30*D22</f>
        <v>30230.129999999997</v>
      </c>
    </row>
    <row r="23" spans="1:9" ht="16" x14ac:dyDescent="0.2">
      <c r="A23" s="144" t="s">
        <v>95</v>
      </c>
      <c r="B23" s="262">
        <v>0.22</v>
      </c>
      <c r="C23" s="281">
        <f>B30*B23</f>
        <v>30782.62</v>
      </c>
      <c r="D23" s="254">
        <v>0.2</v>
      </c>
      <c r="E23" s="281">
        <f>D30*D23</f>
        <v>28790.600000000002</v>
      </c>
    </row>
    <row r="24" spans="1:9" ht="16" x14ac:dyDescent="0.2">
      <c r="A24" s="144" t="s">
        <v>96</v>
      </c>
      <c r="B24" s="262">
        <v>0.01</v>
      </c>
      <c r="C24" s="281">
        <f>B30*B24</f>
        <v>1399.21</v>
      </c>
      <c r="D24" s="254">
        <v>0.01</v>
      </c>
      <c r="E24" s="281">
        <f>D30*D24</f>
        <v>1439.53</v>
      </c>
    </row>
    <row r="25" spans="1:9" ht="16" x14ac:dyDescent="0.2">
      <c r="A25" s="144" t="s">
        <v>97</v>
      </c>
      <c r="B25" s="262">
        <v>0.04</v>
      </c>
      <c r="C25" s="281">
        <f>B30*B25</f>
        <v>5596.84</v>
      </c>
      <c r="D25" s="254">
        <v>0.21</v>
      </c>
      <c r="E25" s="281">
        <f>D30*D25</f>
        <v>30230.129999999997</v>
      </c>
    </row>
    <row r="26" spans="1:9" ht="16" x14ac:dyDescent="0.2">
      <c r="A26" s="144" t="s">
        <v>98</v>
      </c>
      <c r="B26" s="262">
        <v>0.26</v>
      </c>
      <c r="C26" s="281">
        <f>B30*B26</f>
        <v>36379.46</v>
      </c>
      <c r="D26" s="254">
        <v>0.21</v>
      </c>
      <c r="E26" s="281">
        <f>D30*D26</f>
        <v>30230.129999999997</v>
      </c>
    </row>
    <row r="27" spans="1:9" ht="17" thickBot="1" x14ac:dyDescent="0.25">
      <c r="A27" s="144" t="s">
        <v>99</v>
      </c>
      <c r="B27" s="263">
        <v>0.24</v>
      </c>
      <c r="C27" s="281">
        <f>B30*B27</f>
        <v>33581.040000000001</v>
      </c>
      <c r="D27" s="255">
        <v>0.16</v>
      </c>
      <c r="E27" s="281">
        <f>D30*D27</f>
        <v>23032.48</v>
      </c>
    </row>
    <row r="28" spans="1:9" ht="16" x14ac:dyDescent="0.2">
      <c r="A28" s="144"/>
      <c r="B28" s="262">
        <f>SUM(B22:B27)</f>
        <v>1</v>
      </c>
      <c r="C28" s="282">
        <f>SUM(C22:C27)</f>
        <v>139921</v>
      </c>
      <c r="D28" s="254">
        <f>SUM(D22:D27)</f>
        <v>1</v>
      </c>
      <c r="E28" s="283">
        <f>SUM(E22:E27)</f>
        <v>143953</v>
      </c>
    </row>
    <row r="29" spans="1:9" ht="15" x14ac:dyDescent="0.2">
      <c r="B29" s="264"/>
      <c r="C29"/>
      <c r="D29" s="256"/>
      <c r="E29"/>
    </row>
    <row r="30" spans="1:9" ht="15" x14ac:dyDescent="0.2">
      <c r="A30" s="251" t="s">
        <v>186</v>
      </c>
      <c r="B30" s="265">
        <v>139921</v>
      </c>
      <c r="C30"/>
      <c r="D30" s="257">
        <v>143953</v>
      </c>
      <c r="E30"/>
    </row>
  </sheetData>
  <mergeCells count="4">
    <mergeCell ref="B2:C2"/>
    <mergeCell ref="E2:F2"/>
    <mergeCell ref="H2:I2"/>
    <mergeCell ref="B20:C20"/>
  </mergeCells>
  <pageMargins left="0.7" right="0.7" top="0.75" bottom="0.75" header="0.3" footer="0.3"/>
  <pageSetup scale="80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I2" s="19"/>
    </row>
    <row r="3" spans="1:12" ht="18" x14ac:dyDescent="0.2">
      <c r="A3" s="1"/>
      <c r="B3" s="1"/>
      <c r="C3" s="1"/>
      <c r="D3" s="1"/>
      <c r="E3" s="78" t="s">
        <v>29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155628</v>
      </c>
      <c r="J4" s="140">
        <f>I40</f>
        <v>149526</v>
      </c>
      <c r="K4" s="140">
        <f>J40</f>
        <v>154489</v>
      </c>
      <c r="L4" s="140">
        <f>K40</f>
        <v>154489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305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v>6260</v>
      </c>
      <c r="G13" s="13">
        <v>5740</v>
      </c>
      <c r="H13" s="62"/>
      <c r="I13" s="13">
        <v>5857</v>
      </c>
      <c r="J13" s="47">
        <v>5783</v>
      </c>
      <c r="K13" s="13">
        <v>5617.44</v>
      </c>
      <c r="L13" s="13">
        <v>5750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6260</v>
      </c>
      <c r="G14" s="8">
        <f>SUM(G9:G13)</f>
        <v>5740</v>
      </c>
      <c r="H14" s="62"/>
      <c r="I14" s="8">
        <f>SUM(I9:I13)</f>
        <v>5857</v>
      </c>
      <c r="J14" s="49">
        <f>SUM(J9:J13)</f>
        <v>5783</v>
      </c>
      <c r="K14" s="8">
        <f t="shared" ref="K14:L14" si="0">SUM(K9:K13)</f>
        <v>5617.44</v>
      </c>
      <c r="L14" s="8">
        <f t="shared" si="0"/>
        <v>5750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>
        <v>6260</v>
      </c>
      <c r="G21" s="13">
        <v>5140</v>
      </c>
      <c r="H21" s="62"/>
      <c r="I21" s="13">
        <v>2500</v>
      </c>
      <c r="J21" s="48">
        <v>4000</v>
      </c>
      <c r="K21" s="35">
        <f>K14+K29</f>
        <v>5055.6959999999999</v>
      </c>
      <c r="L21" s="35">
        <f>L14+L29</f>
        <v>5175</v>
      </c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>
        <v>500</v>
      </c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6260</v>
      </c>
      <c r="G25" s="8">
        <f>SUM(G16:G24)</f>
        <v>5640</v>
      </c>
      <c r="H25" s="62"/>
      <c r="I25" s="13">
        <f>SUM(I16:I24)</f>
        <v>2500</v>
      </c>
      <c r="J25" s="49">
        <f>SUM(J16:J24)</f>
        <v>4000</v>
      </c>
      <c r="K25" s="8">
        <f t="shared" ref="K25:L25" si="1">SUM(K16:K24)</f>
        <v>5055.6959999999999</v>
      </c>
      <c r="L25" s="8">
        <f t="shared" si="1"/>
        <v>5175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0</v>
      </c>
      <c r="G26" s="10">
        <f t="shared" si="2"/>
        <v>100</v>
      </c>
      <c r="H26" s="70"/>
      <c r="I26" s="10">
        <f t="shared" ref="I26" si="3">I14-I25</f>
        <v>3357</v>
      </c>
      <c r="J26" s="50">
        <f t="shared" ref="J26:L26" si="4">J14-J25</f>
        <v>1783</v>
      </c>
      <c r="K26" s="10">
        <f t="shared" si="4"/>
        <v>561.74399999999969</v>
      </c>
      <c r="L26" s="10">
        <f t="shared" si="4"/>
        <v>575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-586</v>
      </c>
      <c r="J29" s="48"/>
      <c r="K29" s="35">
        <f>-0.1*K13</f>
        <v>-561.74400000000003</v>
      </c>
      <c r="L29" s="35">
        <f>-0.1*L13</f>
        <v>-575</v>
      </c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>
        <v>-8873</v>
      </c>
      <c r="J31" s="56">
        <v>3180</v>
      </c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I32" s="47">
        <f>SUM(I28:I31)</f>
        <v>-9459</v>
      </c>
      <c r="J32" s="47">
        <f t="shared" ref="J32:L32" si="6">SUM(J28:J31)</f>
        <v>3180</v>
      </c>
      <c r="K32" s="13">
        <f t="shared" si="6"/>
        <v>-561.74400000000003</v>
      </c>
      <c r="L32" s="13">
        <f t="shared" si="6"/>
        <v>-575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-9459</v>
      </c>
      <c r="J36" s="51">
        <f t="shared" ref="J36:L36" si="12">J32-J35</f>
        <v>3180</v>
      </c>
      <c r="K36" s="14">
        <f t="shared" si="12"/>
        <v>-561.74400000000003</v>
      </c>
      <c r="L36" s="14">
        <f t="shared" si="12"/>
        <v>-575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0</v>
      </c>
      <c r="G37" s="16">
        <f t="shared" si="13"/>
        <v>100</v>
      </c>
      <c r="I37" s="52">
        <f t="shared" ref="I37" si="14">I36+I26</f>
        <v>-6102</v>
      </c>
      <c r="J37" s="52">
        <f t="shared" ref="J37:L37" si="15">J36+J26</f>
        <v>4963</v>
      </c>
      <c r="K37" s="16">
        <f t="shared" si="15"/>
        <v>0</v>
      </c>
      <c r="L37" s="16">
        <f t="shared" si="15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149526</v>
      </c>
      <c r="J40" s="120">
        <f>J4+J37</f>
        <v>154489</v>
      </c>
      <c r="K40" s="120">
        <f t="shared" ref="K40:L40" si="16">K4+K37</f>
        <v>154489</v>
      </c>
      <c r="L40" s="120">
        <f t="shared" si="16"/>
        <v>154489</v>
      </c>
    </row>
  </sheetData>
  <mergeCells count="1">
    <mergeCell ref="F3:G3"/>
  </mergeCells>
  <pageMargins left="0.25" right="0.25" top="0.75" bottom="0.75" header="0.3" footer="0.3"/>
  <pageSetup scale="6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I2" s="19"/>
    </row>
    <row r="3" spans="1:12" ht="18" x14ac:dyDescent="0.2">
      <c r="A3" s="1"/>
      <c r="B3" s="1"/>
      <c r="C3" s="1"/>
      <c r="D3" s="1"/>
      <c r="E3" s="78" t="s">
        <v>30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104348</v>
      </c>
      <c r="J4" s="140">
        <f>I40</f>
        <v>102182</v>
      </c>
      <c r="K4" s="140">
        <f>J40</f>
        <v>109759</v>
      </c>
      <c r="L4" s="140">
        <f>K40</f>
        <v>88588.12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305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>
        <v>20</v>
      </c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v>4043</v>
      </c>
      <c r="G13" s="13">
        <v>4279</v>
      </c>
      <c r="H13" s="62"/>
      <c r="I13" s="97">
        <v>2882</v>
      </c>
      <c r="J13" s="47">
        <v>2049</v>
      </c>
      <c r="K13" s="13">
        <v>3829.12</v>
      </c>
      <c r="L13" s="13">
        <v>3900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4043</v>
      </c>
      <c r="G14" s="8">
        <f>SUM(G9:G13)</f>
        <v>4279</v>
      </c>
      <c r="H14" s="62"/>
      <c r="I14" s="8">
        <f>SUM(I9:I13)</f>
        <v>2902</v>
      </c>
      <c r="J14" s="49">
        <f>SUM(J9:J13)</f>
        <v>2049</v>
      </c>
      <c r="K14" s="8">
        <f t="shared" ref="K14:L14" si="0">SUM(K9:K13)</f>
        <v>3829.12</v>
      </c>
      <c r="L14" s="8">
        <f t="shared" si="0"/>
        <v>3900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>
        <v>4279</v>
      </c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4279</v>
      </c>
      <c r="H25" s="62"/>
      <c r="I25" s="13">
        <f>SUM(I16:I24)</f>
        <v>0</v>
      </c>
      <c r="J25" s="49">
        <f>SUM(J16:J24)</f>
        <v>0</v>
      </c>
      <c r="K25" s="8">
        <f t="shared" ref="K25:L25" si="1">SUM(K16:K24)</f>
        <v>0</v>
      </c>
      <c r="L25" s="8">
        <f t="shared" si="1"/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4043</v>
      </c>
      <c r="G26" s="10">
        <f t="shared" si="2"/>
        <v>0</v>
      </c>
      <c r="H26" s="70"/>
      <c r="I26" s="10">
        <f t="shared" ref="I26" si="3">I14-I25</f>
        <v>2902</v>
      </c>
      <c r="J26" s="50">
        <f t="shared" ref="J26:L26" si="4">J14-J25</f>
        <v>2049</v>
      </c>
      <c r="K26" s="10">
        <f t="shared" si="4"/>
        <v>3829.12</v>
      </c>
      <c r="L26" s="10">
        <f t="shared" si="4"/>
        <v>3900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>
        <v>-25000</v>
      </c>
      <c r="L29" s="35"/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101">
        <v>-5068</v>
      </c>
      <c r="J31" s="56">
        <v>5528</v>
      </c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H32" s="62"/>
      <c r="I32" s="13">
        <f>SUM(I28:I31)</f>
        <v>-5068</v>
      </c>
      <c r="J32" s="47">
        <f t="shared" ref="J32:L32" si="6">SUM(J28:J31)</f>
        <v>5528</v>
      </c>
      <c r="K32" s="13">
        <f t="shared" si="6"/>
        <v>-25000</v>
      </c>
      <c r="L32" s="13">
        <f t="shared" si="6"/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-5068</v>
      </c>
      <c r="J36" s="51">
        <f t="shared" ref="J36:L36" si="12">J32-J35</f>
        <v>5528</v>
      </c>
      <c r="K36" s="14">
        <f t="shared" si="12"/>
        <v>-25000</v>
      </c>
      <c r="L36" s="14">
        <f t="shared" si="12"/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4043</v>
      </c>
      <c r="G37" s="16">
        <f t="shared" si="13"/>
        <v>0</v>
      </c>
      <c r="I37" s="52">
        <f t="shared" ref="I37" si="14">I36+I26</f>
        <v>-2166</v>
      </c>
      <c r="J37" s="52">
        <f t="shared" ref="J37:L37" si="15">J36+J26</f>
        <v>7577</v>
      </c>
      <c r="K37" s="16">
        <f t="shared" si="15"/>
        <v>-21170.880000000001</v>
      </c>
      <c r="L37" s="16">
        <f t="shared" si="15"/>
        <v>3900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102182</v>
      </c>
      <c r="J40" s="120">
        <f>J4+J37</f>
        <v>109759</v>
      </c>
      <c r="K40" s="120">
        <f t="shared" ref="K40:L40" si="16">K4+K37</f>
        <v>88588.12</v>
      </c>
      <c r="L40" s="120">
        <f t="shared" si="16"/>
        <v>92488.12</v>
      </c>
    </row>
  </sheetData>
  <mergeCells count="1">
    <mergeCell ref="F3:G3"/>
  </mergeCells>
  <pageMargins left="0.25" right="0.25" top="0.75" bottom="0.75" header="0.3" footer="0.3"/>
  <pageSetup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66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31</v>
      </c>
      <c r="F3" s="68"/>
      <c r="G3" s="21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21"/>
      <c r="H4" s="118" t="s">
        <v>112</v>
      </c>
      <c r="I4" s="122">
        <v>8828</v>
      </c>
      <c r="J4" s="122">
        <f>I40</f>
        <v>7828</v>
      </c>
      <c r="K4" s="140">
        <f>J40</f>
        <v>7828</v>
      </c>
      <c r="L4" s="140">
        <f>K40</f>
        <v>6828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305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 t="shared" ref="K14:L14" si="0">SUM(K9:K13)</f>
        <v>0</v>
      </c>
      <c r="L14" s="8">
        <f t="shared" si="0"/>
        <v>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96">
        <v>1000</v>
      </c>
      <c r="J21" s="48"/>
      <c r="K21" s="35">
        <v>1000</v>
      </c>
      <c r="L21" s="35">
        <v>1000</v>
      </c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1000</v>
      </c>
      <c r="J25" s="49">
        <f>SUM(J16:J24)</f>
        <v>0</v>
      </c>
      <c r="K25" s="8">
        <f t="shared" ref="K25:L25" si="1">SUM(K16:K24)</f>
        <v>1000</v>
      </c>
      <c r="L25" s="8">
        <f t="shared" si="1"/>
        <v>1000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0</v>
      </c>
      <c r="G26" s="10">
        <f t="shared" si="2"/>
        <v>0</v>
      </c>
      <c r="H26" s="70"/>
      <c r="I26" s="10">
        <f t="shared" ref="I26" si="3">I14-I25</f>
        <v>-1000</v>
      </c>
      <c r="J26" s="50">
        <f t="shared" ref="J26:L26" si="4">J14-J25</f>
        <v>0</v>
      </c>
      <c r="K26" s="10">
        <f t="shared" si="4"/>
        <v>-1000</v>
      </c>
      <c r="L26" s="10">
        <f t="shared" si="4"/>
        <v>-1000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/>
      <c r="L29" s="35"/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I32" s="47">
        <f>SUM(I28:I31)</f>
        <v>0</v>
      </c>
      <c r="J32" s="47">
        <f t="shared" ref="J32:L32" si="6">SUM(J28:J31)</f>
        <v>0</v>
      </c>
      <c r="K32" s="13">
        <f t="shared" si="6"/>
        <v>0</v>
      </c>
      <c r="L32" s="13">
        <f t="shared" si="6"/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0</v>
      </c>
      <c r="J36" s="51">
        <f t="shared" ref="J36:L36" si="12">J32-J35</f>
        <v>0</v>
      </c>
      <c r="K36" s="14">
        <f t="shared" si="12"/>
        <v>0</v>
      </c>
      <c r="L36" s="14">
        <f t="shared" si="12"/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0</v>
      </c>
      <c r="G37" s="16">
        <f t="shared" si="13"/>
        <v>0</v>
      </c>
      <c r="I37" s="52">
        <f t="shared" ref="I37" si="14">I36+I26</f>
        <v>-1000</v>
      </c>
      <c r="J37" s="52">
        <f t="shared" ref="J37:L37" si="15">J36+J26</f>
        <v>0</v>
      </c>
      <c r="K37" s="16">
        <f t="shared" si="15"/>
        <v>-1000</v>
      </c>
      <c r="L37" s="16">
        <f t="shared" si="15"/>
        <v>-1000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7828</v>
      </c>
      <c r="J40" s="120">
        <f>J4+J37</f>
        <v>7828</v>
      </c>
      <c r="K40" s="120">
        <f t="shared" ref="K40:L40" si="16">K4+K37</f>
        <v>6828</v>
      </c>
      <c r="L40" s="120">
        <f t="shared" si="16"/>
        <v>5828</v>
      </c>
    </row>
  </sheetData>
  <pageMargins left="0.25" right="0.25" top="0.75" bottom="0.75" header="0.3" footer="0.3"/>
  <pageSetup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I2" s="19"/>
    </row>
    <row r="3" spans="1:12" ht="18" x14ac:dyDescent="0.2">
      <c r="A3" s="1"/>
      <c r="B3" s="1"/>
      <c r="C3" s="1"/>
      <c r="D3" s="1"/>
      <c r="E3" s="78" t="s">
        <v>55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27129</v>
      </c>
      <c r="J4" s="140">
        <f>I40</f>
        <v>15140</v>
      </c>
      <c r="K4" s="140">
        <f>J40</f>
        <v>15140</v>
      </c>
      <c r="L4" s="140">
        <f>K40</f>
        <v>15140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305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>SUM(K9:K13)</f>
        <v>0</v>
      </c>
      <c r="L14" s="8">
        <f>SUM(L9:L13)</f>
        <v>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3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3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0</v>
      </c>
      <c r="G26" s="10">
        <f t="shared" si="0"/>
        <v>0</v>
      </c>
      <c r="H26" s="70"/>
      <c r="I26" s="10">
        <f t="shared" ref="I26" si="1">I14-I25</f>
        <v>0</v>
      </c>
      <c r="J26" s="50">
        <f t="shared" ref="J26:K26" si="2">J14-J25</f>
        <v>0</v>
      </c>
      <c r="K26" s="10">
        <f t="shared" si="2"/>
        <v>0</v>
      </c>
      <c r="L26" s="10">
        <f t="shared" ref="L26" si="3">L14-L25</f>
        <v>0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96">
        <f>-12000+11</f>
        <v>-11989</v>
      </c>
      <c r="J29" s="48"/>
      <c r="K29" s="35"/>
      <c r="L29" s="35"/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-11989</v>
      </c>
      <c r="J32" s="47">
        <f t="shared" ref="J32:K32" si="5">SUM(J28:J31)</f>
        <v>0</v>
      </c>
      <c r="K32" s="13">
        <f t="shared" si="5"/>
        <v>0</v>
      </c>
      <c r="L32" s="13">
        <f t="shared" ref="L32" si="6">SUM(L28:L31)</f>
        <v>0</v>
      </c>
      <c r="M32" s="2" t="s">
        <v>119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-11989</v>
      </c>
      <c r="J36" s="51">
        <f t="shared" ref="J36:K36" si="13">J32-J35</f>
        <v>0</v>
      </c>
      <c r="K36" s="14">
        <f t="shared" si="13"/>
        <v>0</v>
      </c>
      <c r="L36" s="14">
        <f t="shared" ref="L36" si="14">L32-L35</f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0</v>
      </c>
      <c r="G37" s="16">
        <f t="shared" si="15"/>
        <v>0</v>
      </c>
      <c r="I37" s="52">
        <f t="shared" ref="I37" si="16">I36+I26</f>
        <v>-11989</v>
      </c>
      <c r="J37" s="52">
        <f t="shared" ref="J37:K37" si="17">J36+J26</f>
        <v>0</v>
      </c>
      <c r="K37" s="16">
        <f t="shared" si="17"/>
        <v>0</v>
      </c>
      <c r="L37" s="16">
        <f t="shared" ref="L37" si="18">L36+L26</f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15140</v>
      </c>
      <c r="J40" s="120">
        <f>J4+J37</f>
        <v>15140</v>
      </c>
      <c r="K40" s="120">
        <f t="shared" ref="K40:L40" si="19">K4+K37</f>
        <v>15140</v>
      </c>
      <c r="L40" s="120">
        <f t="shared" si="19"/>
        <v>15140</v>
      </c>
    </row>
  </sheetData>
  <mergeCells count="1">
    <mergeCell ref="F3:G3"/>
  </mergeCells>
  <pageMargins left="0.25" right="0.25" top="0.75" bottom="0.75" header="0.3" footer="0.3"/>
  <pageSetup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I2" s="19"/>
    </row>
    <row r="3" spans="1:12" ht="18" x14ac:dyDescent="0.2">
      <c r="A3" s="1"/>
      <c r="B3" s="1"/>
      <c r="C3" s="1"/>
      <c r="D3" s="1"/>
      <c r="E3" s="78" t="s">
        <v>44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1576</v>
      </c>
      <c r="J4" s="140">
        <f>I40</f>
        <v>0</v>
      </c>
      <c r="K4" s="140">
        <f>J40</f>
        <v>0</v>
      </c>
      <c r="L4" s="140">
        <f>K40</f>
        <v>0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305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>SUM(K9:K13)</f>
        <v>0</v>
      </c>
      <c r="L14" s="8">
        <f>SUM(L9:L13)</f>
        <v>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0</v>
      </c>
      <c r="G26" s="10">
        <f t="shared" si="0"/>
        <v>0</v>
      </c>
      <c r="H26" s="70"/>
      <c r="I26" s="10">
        <f t="shared" ref="I26:L26" si="1">I14-I25</f>
        <v>0</v>
      </c>
      <c r="J26" s="50">
        <f t="shared" si="1"/>
        <v>0</v>
      </c>
      <c r="K26" s="10">
        <f t="shared" si="1"/>
        <v>0</v>
      </c>
      <c r="L26" s="10">
        <f t="shared" si="1"/>
        <v>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96">
        <v>-1576</v>
      </c>
      <c r="J29" s="48"/>
      <c r="K29" s="35"/>
      <c r="L29" s="35"/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2">SUM(F28:F31)</f>
        <v>0</v>
      </c>
      <c r="G32" s="13">
        <f t="shared" si="2"/>
        <v>0</v>
      </c>
      <c r="I32" s="47">
        <f>SUM(I28:I31)</f>
        <v>-1576</v>
      </c>
      <c r="J32" s="47">
        <f t="shared" ref="J32:L32" si="3">SUM(J28:J31)</f>
        <v>0</v>
      </c>
      <c r="K32" s="13">
        <f t="shared" si="3"/>
        <v>0</v>
      </c>
      <c r="L32" s="13">
        <f t="shared" si="3"/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4">F34</f>
        <v>0</v>
      </c>
      <c r="G35" s="14">
        <f t="shared" si="4"/>
        <v>0</v>
      </c>
      <c r="I35" s="51">
        <f t="shared" ref="I35:L35" si="5">I34</f>
        <v>0</v>
      </c>
      <c r="J35" s="51">
        <f t="shared" si="5"/>
        <v>0</v>
      </c>
      <c r="K35" s="14">
        <f t="shared" si="5"/>
        <v>0</v>
      </c>
      <c r="L35" s="14">
        <f t="shared" si="5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6">F32-F35</f>
        <v>0</v>
      </c>
      <c r="G36" s="14">
        <f t="shared" si="6"/>
        <v>0</v>
      </c>
      <c r="I36" s="51">
        <f t="shared" ref="I36:L36" si="7">I32-I35</f>
        <v>-1576</v>
      </c>
      <c r="J36" s="51">
        <f t="shared" si="7"/>
        <v>0</v>
      </c>
      <c r="K36" s="14">
        <f t="shared" si="7"/>
        <v>0</v>
      </c>
      <c r="L36" s="14">
        <f t="shared" si="7"/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8">F36+F26</f>
        <v>0</v>
      </c>
      <c r="G37" s="16">
        <f t="shared" si="8"/>
        <v>0</v>
      </c>
      <c r="I37" s="52">
        <f t="shared" ref="I37:L37" si="9">I36+I26</f>
        <v>-1576</v>
      </c>
      <c r="J37" s="52">
        <f t="shared" si="9"/>
        <v>0</v>
      </c>
      <c r="K37" s="16">
        <f t="shared" si="9"/>
        <v>0</v>
      </c>
      <c r="L37" s="16">
        <f t="shared" si="9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0</v>
      </c>
      <c r="J40" s="120">
        <f>J4+J37</f>
        <v>0</v>
      </c>
      <c r="K40" s="120">
        <f t="shared" ref="K40:L40" si="10">K4+K37</f>
        <v>0</v>
      </c>
      <c r="L40" s="120">
        <f t="shared" si="10"/>
        <v>0</v>
      </c>
    </row>
  </sheetData>
  <mergeCells count="1">
    <mergeCell ref="F3:G3"/>
  </mergeCells>
  <pageMargins left="0.25" right="0.25" top="0.75" bottom="0.75" header="0.3" footer="0.3"/>
  <pageSetup scale="6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I2" s="19"/>
    </row>
    <row r="3" spans="1:12" ht="18" x14ac:dyDescent="0.2">
      <c r="A3" s="1"/>
      <c r="B3" s="1"/>
      <c r="C3" s="1"/>
      <c r="D3" s="1"/>
      <c r="E3" s="78" t="s">
        <v>110</v>
      </c>
      <c r="F3" s="289"/>
      <c r="G3" s="289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7020</v>
      </c>
      <c r="J4" s="140">
        <f>I40</f>
        <v>6844</v>
      </c>
      <c r="K4" s="140">
        <f>J40</f>
        <v>7012.54</v>
      </c>
      <c r="L4" s="140">
        <f>K40</f>
        <v>7012.54</v>
      </c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H6" s="81"/>
      <c r="I6" s="80" t="s">
        <v>26</v>
      </c>
      <c r="J6" s="305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2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>
        <v>50</v>
      </c>
      <c r="H13" s="62"/>
      <c r="I13" s="13">
        <v>47</v>
      </c>
      <c r="J13" s="47">
        <v>168.54</v>
      </c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50</v>
      </c>
      <c r="H14" s="62"/>
      <c r="I14" s="8">
        <f>SUM(I9:I13)</f>
        <v>47</v>
      </c>
      <c r="J14" s="49">
        <f>SUM(J9:J13)</f>
        <v>168.54</v>
      </c>
      <c r="K14" s="8">
        <f t="shared" ref="K14:L14" si="0">SUM(K9:K13)</f>
        <v>0</v>
      </c>
      <c r="L14" s="8">
        <f t="shared" si="0"/>
        <v>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 t="shared" ref="K25:L25" si="1">SUM(K16:K24)</f>
        <v>0</v>
      </c>
      <c r="L25" s="8">
        <f t="shared" si="1"/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0</v>
      </c>
      <c r="G26" s="10">
        <f t="shared" si="2"/>
        <v>50</v>
      </c>
      <c r="H26" s="70"/>
      <c r="I26" s="10">
        <f t="shared" ref="I26" si="3">I14-I25</f>
        <v>47</v>
      </c>
      <c r="J26" s="50">
        <f t="shared" ref="J26:L26" si="4">J14-J25</f>
        <v>168.54</v>
      </c>
      <c r="K26" s="10">
        <f t="shared" si="4"/>
        <v>0</v>
      </c>
      <c r="L26" s="10">
        <f t="shared" si="4"/>
        <v>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/>
      <c r="L29" s="35"/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>
        <v>-223</v>
      </c>
      <c r="J31" s="56"/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H32" s="62"/>
      <c r="I32" s="13">
        <f>SUM(I28:I31)</f>
        <v>-223</v>
      </c>
      <c r="J32" s="47">
        <f t="shared" ref="J32:L32" si="6">SUM(J28:J31)</f>
        <v>0</v>
      </c>
      <c r="K32" s="13">
        <f t="shared" si="6"/>
        <v>0</v>
      </c>
      <c r="L32" s="13">
        <f t="shared" si="6"/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H33" s="62"/>
      <c r="I33" s="13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-223</v>
      </c>
      <c r="J36" s="51">
        <f t="shared" ref="J36:L36" si="12">J32-J35</f>
        <v>0</v>
      </c>
      <c r="K36" s="14">
        <f t="shared" si="12"/>
        <v>0</v>
      </c>
      <c r="L36" s="14">
        <f t="shared" si="12"/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0</v>
      </c>
      <c r="G37" s="16">
        <f t="shared" si="13"/>
        <v>50</v>
      </c>
      <c r="I37" s="52">
        <f t="shared" ref="I37" si="14">I36+I26</f>
        <v>-176</v>
      </c>
      <c r="J37" s="52">
        <f t="shared" ref="J37:L37" si="15">J36+J26</f>
        <v>168.54</v>
      </c>
      <c r="K37" s="16">
        <f t="shared" si="15"/>
        <v>0</v>
      </c>
      <c r="L37" s="16">
        <f t="shared" si="15"/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6844</v>
      </c>
      <c r="J40" s="120">
        <f>J4+J37</f>
        <v>7012.54</v>
      </c>
      <c r="K40" s="120">
        <f t="shared" ref="K40:L40" si="16">K4+K37</f>
        <v>7012.54</v>
      </c>
      <c r="L40" s="120">
        <f t="shared" si="16"/>
        <v>7012.54</v>
      </c>
    </row>
  </sheetData>
  <mergeCells count="1">
    <mergeCell ref="F3:G3"/>
  </mergeCells>
  <pageMargins left="0.25" right="0.25" top="0.75" bottom="0.75" header="0.3" footer="0.3"/>
  <pageSetup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1"/>
      <c r="I2" s="19"/>
    </row>
    <row r="3" spans="1:13" ht="18" x14ac:dyDescent="0.2">
      <c r="A3" s="1"/>
      <c r="B3" s="1"/>
      <c r="C3" s="1"/>
      <c r="D3" s="1"/>
      <c r="E3" s="76" t="s">
        <v>47</v>
      </c>
      <c r="F3" s="19"/>
      <c r="G3" s="21"/>
      <c r="H3" s="59"/>
      <c r="I3" s="135" t="s">
        <v>74</v>
      </c>
      <c r="J3" s="136" t="s">
        <v>75</v>
      </c>
      <c r="K3" s="136" t="s">
        <v>91</v>
      </c>
      <c r="L3" s="136" t="s">
        <v>93</v>
      </c>
      <c r="M3" s="59"/>
    </row>
    <row r="4" spans="1:13" ht="18" x14ac:dyDescent="0.2">
      <c r="A4" s="1"/>
      <c r="B4" s="1"/>
      <c r="C4" s="1"/>
      <c r="D4" s="1"/>
      <c r="E4" s="76"/>
      <c r="F4" s="19"/>
      <c r="G4" s="21"/>
      <c r="H4" s="118" t="s">
        <v>112</v>
      </c>
      <c r="I4" s="122">
        <v>16218</v>
      </c>
      <c r="J4" s="122">
        <f>I40</f>
        <v>16218</v>
      </c>
      <c r="K4" s="122">
        <f>J40</f>
        <v>16218</v>
      </c>
      <c r="L4" s="119">
        <f>K40</f>
        <v>8000</v>
      </c>
      <c r="M4" s="59"/>
    </row>
    <row r="5" spans="1:13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305" t="s">
        <v>187</v>
      </c>
      <c r="K6" s="61" t="s">
        <v>17</v>
      </c>
      <c r="L6" s="61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3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3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3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 t="shared" ref="K14:L14" si="0">SUM(K9:K13)</f>
        <v>0</v>
      </c>
      <c r="L14" s="8">
        <f t="shared" si="0"/>
        <v>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3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3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 t="shared" ref="K25:L25" si="1">SUM(K16:K24)</f>
        <v>0</v>
      </c>
      <c r="L25" s="8">
        <f t="shared" si="1"/>
        <v>0</v>
      </c>
    </row>
    <row r="26" spans="1:13" s="6" customFormat="1" ht="40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2">F14-F25</f>
        <v>0</v>
      </c>
      <c r="G26" s="10">
        <f t="shared" si="2"/>
        <v>0</v>
      </c>
      <c r="H26" s="70"/>
      <c r="I26" s="10">
        <f t="shared" ref="I26" si="3">I14-I25</f>
        <v>0</v>
      </c>
      <c r="J26" s="50">
        <f t="shared" ref="J26:L26" si="4">J14-J25</f>
        <v>0</v>
      </c>
      <c r="K26" s="10">
        <f t="shared" si="4"/>
        <v>0</v>
      </c>
      <c r="L26" s="10">
        <f t="shared" si="4"/>
        <v>0</v>
      </c>
    </row>
    <row r="27" spans="1:13" ht="37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>
        <v>-8218</v>
      </c>
      <c r="L29" s="35">
        <v>-8000</v>
      </c>
      <c r="M29" s="2" t="s">
        <v>117</v>
      </c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5">SUM(F28:F31)</f>
        <v>0</v>
      </c>
      <c r="G32" s="13">
        <f t="shared" si="5"/>
        <v>0</v>
      </c>
      <c r="I32" s="47">
        <f>SUM(I28:I31)</f>
        <v>0</v>
      </c>
      <c r="J32" s="47">
        <f t="shared" ref="J32:L32" si="6">SUM(J28:J31)</f>
        <v>0</v>
      </c>
      <c r="K32" s="13">
        <f t="shared" si="6"/>
        <v>-8218</v>
      </c>
      <c r="L32" s="13">
        <f t="shared" si="6"/>
        <v>-8000</v>
      </c>
    </row>
    <row r="33" spans="1:12" ht="37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L35" si="9">J34</f>
        <v>0</v>
      </c>
      <c r="K35" s="14">
        <f t="shared" si="9"/>
        <v>0</v>
      </c>
      <c r="L35" s="14">
        <f t="shared" si="9"/>
        <v>0</v>
      </c>
    </row>
    <row r="36" spans="1:12" ht="30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0">F32-F35</f>
        <v>0</v>
      </c>
      <c r="G36" s="14">
        <f t="shared" si="10"/>
        <v>0</v>
      </c>
      <c r="I36" s="51">
        <f t="shared" ref="I36" si="11">I32-I35</f>
        <v>0</v>
      </c>
      <c r="J36" s="51">
        <f t="shared" ref="J36:L36" si="12">J32-J35</f>
        <v>0</v>
      </c>
      <c r="K36" s="14">
        <f t="shared" si="12"/>
        <v>-8218</v>
      </c>
      <c r="L36" s="14">
        <f t="shared" si="12"/>
        <v>-8000</v>
      </c>
    </row>
    <row r="37" spans="1:12" s="4" customFormat="1" ht="33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3">F36+F26</f>
        <v>0</v>
      </c>
      <c r="G37" s="16">
        <f t="shared" si="13"/>
        <v>0</v>
      </c>
      <c r="I37" s="52">
        <f t="shared" ref="I37" si="14">I36+I26</f>
        <v>0</v>
      </c>
      <c r="J37" s="52">
        <f t="shared" ref="J37:L37" si="15">J36+J26</f>
        <v>0</v>
      </c>
      <c r="K37" s="16">
        <f t="shared" si="15"/>
        <v>-8218</v>
      </c>
      <c r="L37" s="16">
        <f t="shared" si="15"/>
        <v>-8000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16218</v>
      </c>
      <c r="J40" s="120">
        <f>J4+J37</f>
        <v>16218</v>
      </c>
      <c r="K40" s="120">
        <f t="shared" ref="K40:L40" si="16">K4+K37</f>
        <v>8000</v>
      </c>
      <c r="L40" s="120">
        <f t="shared" si="16"/>
        <v>0</v>
      </c>
    </row>
  </sheetData>
  <pageMargins left="0.25" right="0.25" top="0.75" bottom="0.75" header="0.3" footer="0.3"/>
  <pageSetup scale="5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1"/>
      <c r="I2" s="19"/>
    </row>
    <row r="3" spans="1:13" ht="18" x14ac:dyDescent="0.2">
      <c r="A3" s="1"/>
      <c r="B3" s="1"/>
      <c r="C3" s="1"/>
      <c r="D3" s="1"/>
      <c r="E3" s="78" t="s">
        <v>48</v>
      </c>
      <c r="F3" s="289"/>
      <c r="G3" s="28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3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26">
        <v>0</v>
      </c>
      <c r="J4" s="120">
        <f>I40</f>
        <v>7759</v>
      </c>
      <c r="K4" s="120">
        <f>J40</f>
        <v>29743</v>
      </c>
      <c r="L4" s="120">
        <f>K40</f>
        <v>33655.919999999998</v>
      </c>
    </row>
    <row r="5" spans="1:13" ht="16" thickBot="1" x14ac:dyDescent="0.25">
      <c r="A5" s="1"/>
      <c r="B5" s="1"/>
      <c r="C5" s="1"/>
      <c r="D5" s="1"/>
      <c r="E5" s="66"/>
      <c r="F5" s="21"/>
      <c r="G5" s="21"/>
      <c r="I5" s="60"/>
      <c r="J5" s="138"/>
      <c r="K5"/>
      <c r="L5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23" t="s">
        <v>19</v>
      </c>
      <c r="G6" s="45" t="s">
        <v>20</v>
      </c>
      <c r="I6" s="45" t="s">
        <v>26</v>
      </c>
      <c r="J6" s="305" t="s">
        <v>187</v>
      </c>
      <c r="K6" s="45" t="s">
        <v>17</v>
      </c>
      <c r="L6" s="45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3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3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3" ht="16" thickBot="1" x14ac:dyDescent="0.25">
      <c r="A13" s="1"/>
      <c r="B13" s="1"/>
      <c r="C13" s="1"/>
      <c r="D13" s="1"/>
      <c r="E13" s="43" t="s">
        <v>60</v>
      </c>
      <c r="F13" s="12"/>
      <c r="G13" s="13">
        <v>22945</v>
      </c>
      <c r="H13" s="71"/>
      <c r="I13" s="97">
        <v>22277</v>
      </c>
      <c r="J13" s="47">
        <v>21984</v>
      </c>
      <c r="K13" s="35">
        <v>22012.92</v>
      </c>
      <c r="L13" s="35">
        <v>22000</v>
      </c>
      <c r="M13" s="2" t="s">
        <v>106</v>
      </c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22945</v>
      </c>
      <c r="H14" s="62"/>
      <c r="I14" s="8">
        <f>SUM(I9:I13)</f>
        <v>22277</v>
      </c>
      <c r="J14" s="49">
        <f>SUM(J9:J13)</f>
        <v>21984</v>
      </c>
      <c r="K14" s="8">
        <f>SUM(K9:K13)</f>
        <v>22012.92</v>
      </c>
      <c r="L14" s="8">
        <f>SUM(L9:L13)</f>
        <v>22000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3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3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0</v>
      </c>
      <c r="G26" s="10">
        <f t="shared" si="0"/>
        <v>22945</v>
      </c>
      <c r="H26" s="70"/>
      <c r="I26" s="10">
        <f t="shared" ref="I26" si="1">I14-I25</f>
        <v>22277</v>
      </c>
      <c r="J26" s="50">
        <f t="shared" ref="J26:K26" si="2">J14-J25</f>
        <v>21984</v>
      </c>
      <c r="K26" s="10">
        <f t="shared" si="2"/>
        <v>22012.92</v>
      </c>
      <c r="L26" s="10">
        <f t="shared" ref="L26" si="3">L14-L25</f>
        <v>22000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96">
        <v>-14518</v>
      </c>
      <c r="J29" s="48"/>
      <c r="K29" s="35">
        <f>-(3600+7500+7000)</f>
        <v>-18100</v>
      </c>
      <c r="L29" s="35">
        <f>-(15000+7000)</f>
        <v>-22000</v>
      </c>
      <c r="M29" s="2" t="s">
        <v>183</v>
      </c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-14518</v>
      </c>
      <c r="J32" s="47">
        <f t="shared" ref="J32:K32" si="5">SUM(J28:J31)</f>
        <v>0</v>
      </c>
      <c r="K32" s="13">
        <f t="shared" si="5"/>
        <v>-18100</v>
      </c>
      <c r="L32" s="13">
        <f t="shared" ref="L32" si="6">SUM(L28:L31)</f>
        <v>-22000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-14518</v>
      </c>
      <c r="J36" s="51">
        <f t="shared" ref="J36:K36" si="13">J32-J35</f>
        <v>0</v>
      </c>
      <c r="K36" s="14">
        <f t="shared" si="13"/>
        <v>-18100</v>
      </c>
      <c r="L36" s="14">
        <f t="shared" ref="L36" si="14">L32-L35</f>
        <v>-22000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0</v>
      </c>
      <c r="G37" s="16">
        <f t="shared" si="15"/>
        <v>22945</v>
      </c>
      <c r="I37" s="52">
        <f t="shared" ref="I37" si="16">I36+I26</f>
        <v>7759</v>
      </c>
      <c r="J37" s="52">
        <f t="shared" ref="J37:K37" si="17">J36+J26</f>
        <v>21984</v>
      </c>
      <c r="K37" s="16">
        <f t="shared" si="17"/>
        <v>3912.9199999999983</v>
      </c>
      <c r="L37" s="16">
        <f t="shared" ref="L37" si="18">L36+L26</f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7759</v>
      </c>
      <c r="J40" s="120">
        <f>J4+J37</f>
        <v>29743</v>
      </c>
      <c r="K40" s="120">
        <f t="shared" ref="K40:L40" si="19">K4+K37</f>
        <v>33655.919999999998</v>
      </c>
      <c r="L40" s="120">
        <f t="shared" si="19"/>
        <v>33655.919999999998</v>
      </c>
    </row>
  </sheetData>
  <mergeCells count="1">
    <mergeCell ref="F3:G3"/>
  </mergeCells>
  <pageMargins left="0.25" right="0.25" top="0.75" bottom="0.75" header="0.3" footer="0.3"/>
  <pageSetup scale="4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1"/>
      <c r="F2" s="122" t="s">
        <v>54</v>
      </c>
      <c r="I2" s="19"/>
    </row>
    <row r="3" spans="1:12" ht="18" x14ac:dyDescent="0.2">
      <c r="A3" s="1"/>
      <c r="B3" s="1"/>
      <c r="C3" s="1"/>
      <c r="D3" s="1"/>
      <c r="E3" s="78" t="s">
        <v>28</v>
      </c>
      <c r="F3" s="21"/>
      <c r="G3" s="21"/>
      <c r="H3" s="5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2" ht="18" x14ac:dyDescent="0.2">
      <c r="A4" s="1"/>
      <c r="B4" s="1"/>
      <c r="C4" s="1"/>
      <c r="D4" s="1"/>
      <c r="E4" s="78"/>
      <c r="F4" s="21"/>
      <c r="G4" s="21"/>
      <c r="H4" s="118" t="s">
        <v>112</v>
      </c>
      <c r="I4" s="127">
        <f>SUM('Committee Travel 310:Travel Support 390'!I4)+135000+148000</f>
        <v>778374</v>
      </c>
      <c r="J4" s="139">
        <f>I40</f>
        <v>758557</v>
      </c>
      <c r="K4" s="139">
        <f>J40</f>
        <v>804829.54</v>
      </c>
      <c r="L4" s="119">
        <f>K40</f>
        <v>770814.98</v>
      </c>
    </row>
    <row r="5" spans="1:12" ht="16" thickBot="1" x14ac:dyDescent="0.25">
      <c r="A5" s="1"/>
      <c r="B5" s="1"/>
      <c r="C5" s="1"/>
      <c r="D5" s="1"/>
      <c r="E5" s="66"/>
      <c r="F5" s="79"/>
      <c r="G5" s="60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305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12">
        <f>SUM('Committee Travel 310:Travel Support 390'!F9)</f>
        <v>0</v>
      </c>
      <c r="G9" s="13">
        <f>SUM('Committee Travel 310:Travel Support 390'!G9)</f>
        <v>0</v>
      </c>
      <c r="H9" s="62"/>
      <c r="I9" s="47">
        <f>SUM('Committee Travel 310:Travel Support 390'!I9)</f>
        <v>20</v>
      </c>
      <c r="J9" s="47">
        <f>SUM('Committee Travel 310:Travel Support 390'!J9)</f>
        <v>0</v>
      </c>
      <c r="K9" s="47">
        <f>SUM('Committee Travel 310:Travel Support 390'!K9)</f>
        <v>0</v>
      </c>
      <c r="L9" s="47">
        <f>SUM('Committee Travel 310:Travel Support 390'!L9)</f>
        <v>0</v>
      </c>
    </row>
    <row r="10" spans="1:12" x14ac:dyDescent="0.2">
      <c r="A10" s="1"/>
      <c r="B10" s="1"/>
      <c r="C10" s="1"/>
      <c r="D10" s="1"/>
      <c r="E10" s="128" t="s">
        <v>56</v>
      </c>
      <c r="F10" s="12">
        <f>SUM('Committee Travel 310:Travel Support 390'!F10)</f>
        <v>0</v>
      </c>
      <c r="G10" s="13">
        <f>SUM('Committee Travel 310:Travel Support 390'!G10)</f>
        <v>0</v>
      </c>
      <c r="H10" s="62"/>
      <c r="I10" s="47">
        <f>SUM('Committee Travel 310:Travel Support 390'!I10)</f>
        <v>0</v>
      </c>
      <c r="J10" s="47">
        <f>SUM('Committee Travel 310:Travel Support 390'!J10)</f>
        <v>0</v>
      </c>
      <c r="K10" s="47">
        <f>SUM('Committee Travel 310:Travel Support 390'!K10)</f>
        <v>0</v>
      </c>
      <c r="L10" s="47">
        <f>SUM('Committee Travel 310:Travel Support 390'!L10)</f>
        <v>0</v>
      </c>
    </row>
    <row r="11" spans="1:12" x14ac:dyDescent="0.2">
      <c r="A11" s="1"/>
      <c r="B11" s="1"/>
      <c r="C11" s="1"/>
      <c r="D11" s="1"/>
      <c r="E11" s="43" t="s">
        <v>58</v>
      </c>
      <c r="F11" s="12">
        <f>SUM('Committee Travel 310:Travel Support 390'!F11)</f>
        <v>0</v>
      </c>
      <c r="G11" s="13">
        <f>SUM('Committee Travel 310:Travel Support 390'!G11)</f>
        <v>0</v>
      </c>
      <c r="H11" s="62"/>
      <c r="I11" s="47">
        <f>SUM('Committee Travel 310:Travel Support 390'!I11)</f>
        <v>0</v>
      </c>
      <c r="J11" s="47">
        <f>SUM('Committee Travel 310:Travel Support 390'!J11)</f>
        <v>0</v>
      </c>
      <c r="K11" s="47">
        <f>SUM('Committee Travel 310:Travel Support 390'!K11)</f>
        <v>0</v>
      </c>
      <c r="L11" s="47">
        <f>SUM('Committee Travel 310:Travel Support 390'!L11)</f>
        <v>0</v>
      </c>
    </row>
    <row r="12" spans="1:12" x14ac:dyDescent="0.2">
      <c r="A12" s="1"/>
      <c r="B12" s="1"/>
      <c r="C12" s="1"/>
      <c r="D12" s="1"/>
      <c r="E12" s="43" t="s">
        <v>59</v>
      </c>
      <c r="F12" s="12">
        <f>SUM('Committee Travel 310:Travel Support 390'!F12)</f>
        <v>0</v>
      </c>
      <c r="G12" s="13">
        <f>SUM('Committee Travel 310:Travel Support 390'!G12)</f>
        <v>0</v>
      </c>
      <c r="I12" s="47">
        <f>SUM('Committee Travel 310:Travel Support 390'!I12)</f>
        <v>0</v>
      </c>
      <c r="J12" s="47">
        <f>SUM('Committee Travel 310:Travel Support 390'!J12)</f>
        <v>0</v>
      </c>
      <c r="K12" s="47">
        <f>SUM('Committee Travel 310:Travel Support 390'!K12)</f>
        <v>0</v>
      </c>
      <c r="L12" s="47">
        <f>SUM('Committee Travel 310:Travel Support 390'!L12)</f>
        <v>0</v>
      </c>
    </row>
    <row r="13" spans="1:12" ht="16" thickBot="1" x14ac:dyDescent="0.25">
      <c r="A13" s="1"/>
      <c r="B13" s="1"/>
      <c r="C13" s="1"/>
      <c r="D13" s="1"/>
      <c r="E13" s="43" t="s">
        <v>60</v>
      </c>
      <c r="F13" s="12">
        <f>SUM('Committee Travel 310:Travel Support 390'!F13)</f>
        <v>18412</v>
      </c>
      <c r="G13" s="13">
        <f>SUM('Committee Travel 310:Travel Support 390'!G13)</f>
        <v>39493</v>
      </c>
      <c r="H13" s="62"/>
      <c r="I13" s="47">
        <f>SUM('Committee Travel 310:Travel Support 390'!I13)</f>
        <v>38134</v>
      </c>
      <c r="J13" s="47">
        <f>SUM('Committee Travel 310:Travel Support 390'!J13)</f>
        <v>37488.54</v>
      </c>
      <c r="K13" s="47">
        <f>SUM('Committee Travel 310:Travel Support 390'!K13)</f>
        <v>37672.879999999997</v>
      </c>
      <c r="L13" s="47">
        <f>SUM('Committee Travel 310:Travel Support 390'!L13)</f>
        <v>37950</v>
      </c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18412</v>
      </c>
      <c r="G14" s="8">
        <f>SUM(G9:G13)</f>
        <v>39493</v>
      </c>
      <c r="H14" s="62"/>
      <c r="I14" s="8">
        <f>SUM(I9:I13)</f>
        <v>38154</v>
      </c>
      <c r="J14" s="49">
        <f>SUM(J9:J13)</f>
        <v>37488.54</v>
      </c>
      <c r="K14" s="8">
        <f>SUM(K9:K13)</f>
        <v>37672.879999999997</v>
      </c>
      <c r="L14" s="8">
        <f>SUM(L9:L13)</f>
        <v>37950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12">
        <f>SUM('Committee Travel 310:Travel Support 390'!F16)</f>
        <v>0</v>
      </c>
      <c r="G16" s="13">
        <f>SUM('Committee Travel 310:Travel Support 390'!G16)</f>
        <v>0</v>
      </c>
      <c r="H16" s="62"/>
      <c r="I16" s="47">
        <f>SUM('Committee Travel 310:Travel Support 390'!I16)</f>
        <v>0</v>
      </c>
      <c r="J16" s="47">
        <f>SUM('Committee Travel 310:Travel Support 390'!J16)</f>
        <v>0</v>
      </c>
      <c r="K16" s="47">
        <f>SUM('Committee Travel 310:Travel Support 390'!K16)</f>
        <v>0</v>
      </c>
      <c r="L16" s="47">
        <f>SUM('Committee Travel 310:Travel Support 390'!L16)</f>
        <v>0</v>
      </c>
    </row>
    <row r="17" spans="1:12" x14ac:dyDescent="0.2">
      <c r="A17" s="1"/>
      <c r="B17" s="1"/>
      <c r="C17" s="1"/>
      <c r="D17" s="1"/>
      <c r="E17" s="43" t="s">
        <v>62</v>
      </c>
      <c r="F17" s="12">
        <f>SUM('Committee Travel 310:Travel Support 390'!F17)</f>
        <v>0</v>
      </c>
      <c r="G17" s="13">
        <f>SUM('Committee Travel 310:Travel Support 390'!G17)</f>
        <v>0</v>
      </c>
      <c r="H17" s="62"/>
      <c r="I17" s="47">
        <f>SUM('Committee Travel 310:Travel Support 390'!I17)</f>
        <v>0</v>
      </c>
      <c r="J17" s="47">
        <f>SUM('Committee Travel 310:Travel Support 390'!J17)</f>
        <v>0</v>
      </c>
      <c r="K17" s="47">
        <f>SUM('Committee Travel 310:Travel Support 390'!K17)</f>
        <v>0</v>
      </c>
      <c r="L17" s="47">
        <f>SUM('Committee Travel 310:Travel Support 390'!L17)</f>
        <v>0</v>
      </c>
    </row>
    <row r="18" spans="1:12" x14ac:dyDescent="0.2">
      <c r="A18" s="1"/>
      <c r="B18" s="1"/>
      <c r="C18" s="1"/>
      <c r="D18" s="1"/>
      <c r="E18" s="43" t="s">
        <v>63</v>
      </c>
      <c r="F18" s="12">
        <f>SUM('Committee Travel 310:Travel Support 390'!F18)</f>
        <v>0</v>
      </c>
      <c r="G18" s="13">
        <f>SUM('Committee Travel 310:Travel Support 390'!G18)</f>
        <v>0</v>
      </c>
      <c r="H18" s="62"/>
      <c r="I18" s="47">
        <f>SUM('Committee Travel 310:Travel Support 390'!I18)</f>
        <v>0</v>
      </c>
      <c r="J18" s="47">
        <f>SUM('Committee Travel 310:Travel Support 390'!J18)</f>
        <v>0</v>
      </c>
      <c r="K18" s="47">
        <f>SUM('Committee Travel 310:Travel Support 390'!K18)</f>
        <v>0</v>
      </c>
      <c r="L18" s="47">
        <f>SUM('Committee Travel 310:Travel Support 390'!L18)</f>
        <v>0</v>
      </c>
    </row>
    <row r="19" spans="1:12" x14ac:dyDescent="0.2">
      <c r="A19" s="1"/>
      <c r="B19" s="1"/>
      <c r="C19" s="1"/>
      <c r="D19" s="1"/>
      <c r="E19" s="43" t="s">
        <v>64</v>
      </c>
      <c r="F19" s="12">
        <f>SUM('Committee Travel 310:Travel Support 390'!F19)</f>
        <v>0</v>
      </c>
      <c r="G19" s="13">
        <f>SUM('Committee Travel 310:Travel Support 390'!G19)</f>
        <v>0</v>
      </c>
      <c r="H19" s="62"/>
      <c r="I19" s="47">
        <f>SUM('Committee Travel 310:Travel Support 390'!I19)</f>
        <v>0</v>
      </c>
      <c r="J19" s="47">
        <f>SUM('Committee Travel 310:Travel Support 390'!J19)</f>
        <v>0</v>
      </c>
      <c r="K19" s="47">
        <f>SUM('Committee Travel 310:Travel Support 390'!K19)</f>
        <v>0</v>
      </c>
      <c r="L19" s="47">
        <f>SUM('Committee Travel 310:Travel Support 390'!L19)</f>
        <v>0</v>
      </c>
    </row>
    <row r="20" spans="1:12" x14ac:dyDescent="0.2">
      <c r="A20" s="1"/>
      <c r="B20" s="1"/>
      <c r="C20" s="1"/>
      <c r="D20" s="1"/>
      <c r="E20" s="43" t="s">
        <v>65</v>
      </c>
      <c r="F20" s="12">
        <f>SUM('Committee Travel 310:Travel Support 390'!F20)</f>
        <v>0</v>
      </c>
      <c r="G20" s="13">
        <f>SUM('Committee Travel 310:Travel Support 390'!G20)</f>
        <v>0</v>
      </c>
      <c r="H20" s="62"/>
      <c r="I20" s="47">
        <f>SUM('Committee Travel 310:Travel Support 390'!I20)</f>
        <v>0</v>
      </c>
      <c r="J20" s="47">
        <f>SUM('Committee Travel 310:Travel Support 390'!J20)</f>
        <v>0</v>
      </c>
      <c r="K20" s="47">
        <f>SUM('Committee Travel 310:Travel Support 390'!K20)</f>
        <v>0</v>
      </c>
      <c r="L20" s="47">
        <f>SUM('Committee Travel 310:Travel Support 390'!L20)</f>
        <v>0</v>
      </c>
    </row>
    <row r="21" spans="1:12" x14ac:dyDescent="0.2">
      <c r="A21" s="1"/>
      <c r="B21" s="1"/>
      <c r="C21" s="1"/>
      <c r="D21" s="1"/>
      <c r="E21" s="43" t="s">
        <v>66</v>
      </c>
      <c r="F21" s="12">
        <f>SUM('Committee Travel 310:Travel Support 390'!F21)</f>
        <v>6260</v>
      </c>
      <c r="G21" s="13">
        <f>SUM('Committee Travel 310:Travel Support 390'!G21)</f>
        <v>5140</v>
      </c>
      <c r="H21" s="62"/>
      <c r="I21" s="47">
        <f>SUM('Committee Travel 310:Travel Support 390'!I21)</f>
        <v>3500</v>
      </c>
      <c r="J21" s="47">
        <f>SUM('Committee Travel 310:Travel Support 390'!J21)</f>
        <v>4000</v>
      </c>
      <c r="K21" s="47">
        <f>SUM('Committee Travel 310:Travel Support 390'!K21)</f>
        <v>6055.6959999999999</v>
      </c>
      <c r="L21" s="47">
        <f>SUM('Committee Travel 310:Travel Support 390'!L21)</f>
        <v>6175</v>
      </c>
    </row>
    <row r="22" spans="1:12" x14ac:dyDescent="0.2">
      <c r="A22" s="1"/>
      <c r="B22" s="1"/>
      <c r="C22" s="1"/>
      <c r="D22" s="1"/>
      <c r="E22" s="43" t="s">
        <v>67</v>
      </c>
      <c r="F22" s="12">
        <f>SUM('Committee Travel 310:Travel Support 390'!F22)</f>
        <v>0</v>
      </c>
      <c r="G22" s="13">
        <f>SUM('Committee Travel 310:Travel Support 390'!G22)</f>
        <v>0</v>
      </c>
      <c r="H22" s="62"/>
      <c r="I22" s="47">
        <f>SUM('Committee Travel 310:Travel Support 390'!I22)</f>
        <v>0</v>
      </c>
      <c r="J22" s="47">
        <f>SUM('Committee Travel 310:Travel Support 390'!J22)</f>
        <v>0</v>
      </c>
      <c r="K22" s="47">
        <f>SUM('Committee Travel 310:Travel Support 390'!K22)</f>
        <v>0</v>
      </c>
      <c r="L22" s="47">
        <f>SUM('Committee Travel 310:Travel Support 390'!L22)</f>
        <v>0</v>
      </c>
    </row>
    <row r="23" spans="1:12" x14ac:dyDescent="0.2">
      <c r="A23" s="1"/>
      <c r="B23" s="1"/>
      <c r="C23" s="1"/>
      <c r="D23" s="1"/>
      <c r="E23" s="43" t="s">
        <v>68</v>
      </c>
      <c r="F23" s="12">
        <f>SUM('Committee Travel 310:Travel Support 390'!F23)</f>
        <v>0</v>
      </c>
      <c r="G23" s="13">
        <f>SUM('Committee Travel 310:Travel Support 390'!G23)</f>
        <v>500</v>
      </c>
      <c r="H23" s="62"/>
      <c r="I23" s="47">
        <f>SUM('Committee Travel 310:Travel Support 390'!I23)</f>
        <v>0</v>
      </c>
      <c r="J23" s="47">
        <f>SUM('Committee Travel 310:Travel Support 390'!J23)</f>
        <v>0</v>
      </c>
      <c r="K23" s="47">
        <f>SUM('Committee Travel 310:Travel Support 390'!K23)</f>
        <v>0</v>
      </c>
      <c r="L23" s="47">
        <f>SUM('Committee Travel 310:Travel Support 390'!L23)</f>
        <v>0</v>
      </c>
    </row>
    <row r="24" spans="1:12" ht="16" thickBot="1" x14ac:dyDescent="0.25">
      <c r="A24" s="1"/>
      <c r="B24" s="1"/>
      <c r="C24" s="1"/>
      <c r="D24" s="1"/>
      <c r="E24" s="43" t="s">
        <v>14</v>
      </c>
      <c r="F24" s="12">
        <f>SUM('Committee Travel 310:Travel Support 390'!F24)</f>
        <v>0</v>
      </c>
      <c r="G24" s="13">
        <f>SUM('Committee Travel 310:Travel Support 390'!G24)</f>
        <v>4279</v>
      </c>
      <c r="H24" s="62"/>
      <c r="I24" s="94">
        <f>SUM('Committee Travel 310:Travel Support 390'!I24)</f>
        <v>0</v>
      </c>
      <c r="J24" s="47">
        <f>SUM('Committee Travel 310:Travel Support 390'!J24)</f>
        <v>0</v>
      </c>
      <c r="K24" s="47">
        <f>SUM('Committee Travel 310:Travel Support 390'!K24)</f>
        <v>0</v>
      </c>
      <c r="L24" s="47">
        <f>SUM('Committee Travel 310:Travel Support 390'!L24)</f>
        <v>0</v>
      </c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6260</v>
      </c>
      <c r="G25" s="8">
        <f>SUM(G16:G24)</f>
        <v>9919</v>
      </c>
      <c r="H25" s="62"/>
      <c r="I25" s="13">
        <f>SUM(I16:I24)</f>
        <v>3500</v>
      </c>
      <c r="J25" s="49">
        <f>SUM(J16:J24)</f>
        <v>4000</v>
      </c>
      <c r="K25" s="8">
        <f>SUM(K16:K24)</f>
        <v>6055.6959999999999</v>
      </c>
      <c r="L25" s="8">
        <f>SUM(L16:L24)</f>
        <v>6175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12152</v>
      </c>
      <c r="G26" s="10">
        <f t="shared" si="0"/>
        <v>29574</v>
      </c>
      <c r="H26" s="70"/>
      <c r="I26" s="10">
        <f t="shared" ref="I26" si="1">I14-I25</f>
        <v>34654</v>
      </c>
      <c r="J26" s="50">
        <f t="shared" ref="J26:K26" si="2">J14-J25</f>
        <v>33488.54</v>
      </c>
      <c r="K26" s="10">
        <f t="shared" si="2"/>
        <v>31617.183999999997</v>
      </c>
      <c r="L26" s="10">
        <f t="shared" ref="L26" si="3">L14-L25</f>
        <v>31775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7"/>
      <c r="K27" s="13"/>
      <c r="L27" s="13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7"/>
      <c r="K28" s="13"/>
      <c r="L28" s="13"/>
    </row>
    <row r="29" spans="1:12" x14ac:dyDescent="0.2">
      <c r="A29" s="1"/>
      <c r="B29" s="1"/>
      <c r="C29" s="1"/>
      <c r="D29" s="41"/>
      <c r="E29" s="43" t="s">
        <v>69</v>
      </c>
      <c r="F29" s="12">
        <f>SUM('Committee Travel 310:Travel Support 390'!F29)</f>
        <v>0</v>
      </c>
      <c r="G29" s="13">
        <f>SUM('Committee Travel 310:Travel Support 390'!G29)</f>
        <v>0</v>
      </c>
      <c r="H29" s="62"/>
      <c r="I29" s="47">
        <f>SUM('Committee Travel 310:Travel Support 390'!I29)</f>
        <v>-28669</v>
      </c>
      <c r="J29" s="47">
        <f>SUM('Committee Travel 310:Travel Support 390'!J29)</f>
        <v>0</v>
      </c>
      <c r="K29" s="47">
        <f>SUM('Committee Travel 310:Travel Support 390'!K29)</f>
        <v>-65631.744000000006</v>
      </c>
      <c r="L29" s="47">
        <f>SUM('Committee Travel 310:Travel Support 390'!L29)</f>
        <v>-44375</v>
      </c>
    </row>
    <row r="30" spans="1:12" x14ac:dyDescent="0.2">
      <c r="A30" s="1"/>
      <c r="B30" s="1"/>
      <c r="C30" s="1"/>
      <c r="D30" s="44"/>
      <c r="E30" s="63" t="s">
        <v>16</v>
      </c>
      <c r="F30" s="12">
        <f>SUM('Committee Travel 310:Travel Support 390'!F30)</f>
        <v>0</v>
      </c>
      <c r="G30" s="13">
        <f>SUM('Committee Travel 310:Travel Support 390'!G30)</f>
        <v>0</v>
      </c>
      <c r="H30" s="62"/>
      <c r="I30" s="47">
        <f>SUM('Committee Travel 310:Travel Support 390'!I30)</f>
        <v>0</v>
      </c>
      <c r="J30" s="47">
        <f>SUM('Committee Travel 310:Travel Support 390'!J30)</f>
        <v>0</v>
      </c>
      <c r="K30" s="47">
        <f>SUM('Committee Travel 310:Travel Support 390'!K30)</f>
        <v>0</v>
      </c>
      <c r="L30" s="47">
        <f>SUM('Committee Travel 310:Travel Support 390'!L30)</f>
        <v>0</v>
      </c>
    </row>
    <row r="31" spans="1:12" ht="16" thickBot="1" x14ac:dyDescent="0.25">
      <c r="A31" s="1"/>
      <c r="B31" s="1"/>
      <c r="C31" s="1"/>
      <c r="D31" s="41"/>
      <c r="E31" s="43" t="s">
        <v>70</v>
      </c>
      <c r="F31" s="12">
        <f>SUM('Committee Travel 310:Travel Support 390'!F31)</f>
        <v>0</v>
      </c>
      <c r="G31" s="13">
        <f>SUM('Committee Travel 310:Travel Support 390'!G31)</f>
        <v>0</v>
      </c>
      <c r="H31" s="62"/>
      <c r="I31" s="94">
        <f>SUM('Committee Travel 310:Travel Support 390'!I31)</f>
        <v>-25802</v>
      </c>
      <c r="J31" s="94">
        <f>SUM('Committee Travel 310:Travel Support 390'!J31)</f>
        <v>12784</v>
      </c>
      <c r="K31" s="94">
        <f>SUM('Committee Travel 310:Travel Support 390'!K31)</f>
        <v>0</v>
      </c>
      <c r="L31" s="94">
        <f>SUM('Committee Travel 310:Travel Support 390'!L31)</f>
        <v>0</v>
      </c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H32" s="62"/>
      <c r="I32" s="13">
        <f>SUM(I28:I31)</f>
        <v>-54471</v>
      </c>
      <c r="J32" s="47">
        <f t="shared" ref="J32:K32" si="5">SUM(J28:J31)</f>
        <v>12784</v>
      </c>
      <c r="K32" s="13">
        <f t="shared" si="5"/>
        <v>-65631.744000000006</v>
      </c>
      <c r="L32" s="13">
        <f t="shared" ref="L32" si="6">SUM(L28:L31)</f>
        <v>-44375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>
        <f>SUM('Committee Travel 310:Travel Support 390'!F34)</f>
        <v>0</v>
      </c>
      <c r="G34" s="13">
        <f>SUM('Committee Travel 310:Travel Support 390'!G34)</f>
        <v>0</v>
      </c>
      <c r="I34" s="94">
        <f>SUM('Committee Travel 310:Travel Support 390'!I34)</f>
        <v>0</v>
      </c>
      <c r="J34" s="94">
        <f>SUM('Committee Travel 310:Travel Support 390'!J34)</f>
        <v>0</v>
      </c>
      <c r="K34" s="94">
        <f>SUM('Committee Travel 310:Travel Support 390'!K34)</f>
        <v>0</v>
      </c>
      <c r="L34" s="94">
        <f>SUM('Committee Travel 310:Travel Support 390'!L34)</f>
        <v>0</v>
      </c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:J35" si="8">I34</f>
        <v>0</v>
      </c>
      <c r="J35" s="51">
        <f t="shared" si="8"/>
        <v>0</v>
      </c>
      <c r="K35" s="14">
        <f t="shared" ref="K35" si="9">K34</f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-54471</v>
      </c>
      <c r="J36" s="51">
        <f t="shared" ref="J36:K36" si="13">J32-J35</f>
        <v>12784</v>
      </c>
      <c r="K36" s="14">
        <f t="shared" si="13"/>
        <v>-65631.744000000006</v>
      </c>
      <c r="L36" s="14">
        <f t="shared" ref="L36" si="14">L32-L35</f>
        <v>-44375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12152</v>
      </c>
      <c r="G37" s="16">
        <f t="shared" si="15"/>
        <v>29574</v>
      </c>
      <c r="I37" s="52">
        <f t="shared" ref="I37" si="16">I36+I26</f>
        <v>-19817</v>
      </c>
      <c r="J37" s="52">
        <f t="shared" ref="J37:K37" si="17">J36+J26</f>
        <v>46272.54</v>
      </c>
      <c r="K37" s="16">
        <f t="shared" si="17"/>
        <v>-34014.560000000012</v>
      </c>
      <c r="L37" s="16">
        <f t="shared" ref="L37" si="18">L36+L26</f>
        <v>-12600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758557</v>
      </c>
      <c r="J40" s="120">
        <f>J4+J37</f>
        <v>804829.54</v>
      </c>
      <c r="K40" s="120">
        <f t="shared" ref="K40:L40" si="19">K4+K37</f>
        <v>770814.98</v>
      </c>
      <c r="L40" s="120">
        <f t="shared" si="19"/>
        <v>758214.98</v>
      </c>
    </row>
  </sheetData>
  <printOptions headings="1"/>
  <pageMargins left="0.25" right="0.25" top="0.75" bottom="0.75" header="0.3" footer="0.3"/>
  <pageSetup scale="67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1"/>
      <c r="I2" s="19"/>
    </row>
    <row r="3" spans="1:13" ht="18" x14ac:dyDescent="0.2">
      <c r="A3" s="1"/>
      <c r="B3" s="1"/>
      <c r="C3" s="1"/>
      <c r="D3" s="1"/>
      <c r="E3" s="78" t="s">
        <v>51</v>
      </c>
      <c r="F3" s="289"/>
      <c r="G3" s="289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3" ht="18" x14ac:dyDescent="0.2">
      <c r="A4" s="1"/>
      <c r="B4" s="1"/>
      <c r="C4" s="1"/>
      <c r="D4" s="1"/>
      <c r="E4" s="78"/>
      <c r="F4" s="112"/>
      <c r="G4" s="112"/>
      <c r="H4" s="118" t="s">
        <v>112</v>
      </c>
      <c r="I4" s="119">
        <v>40064</v>
      </c>
      <c r="J4" s="120">
        <f>I40</f>
        <v>37608</v>
      </c>
      <c r="K4" s="120">
        <f>J40</f>
        <v>38476</v>
      </c>
      <c r="L4" s="120">
        <f>K40</f>
        <v>38476</v>
      </c>
    </row>
    <row r="5" spans="1:13" ht="16" thickBot="1" x14ac:dyDescent="0.25">
      <c r="A5" s="1"/>
      <c r="B5" s="1"/>
      <c r="C5" s="1"/>
      <c r="D5" s="1"/>
      <c r="E5" s="66"/>
      <c r="F5" s="60"/>
      <c r="G5" s="60"/>
      <c r="I5" s="60"/>
      <c r="J5"/>
      <c r="K5"/>
      <c r="L5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45" t="s">
        <v>26</v>
      </c>
      <c r="J6" s="305" t="s">
        <v>187</v>
      </c>
      <c r="K6" s="45" t="s">
        <v>17</v>
      </c>
      <c r="L6" s="45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3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3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3" ht="16" thickBot="1" x14ac:dyDescent="0.25">
      <c r="A13" s="1"/>
      <c r="B13" s="1"/>
      <c r="C13" s="1"/>
      <c r="D13" s="1"/>
      <c r="E13" s="43" t="s">
        <v>60</v>
      </c>
      <c r="F13" s="34">
        <v>1824</v>
      </c>
      <c r="G13" s="35"/>
      <c r="H13" s="62"/>
      <c r="I13" s="13"/>
      <c r="J13" s="48"/>
      <c r="L13" s="154"/>
      <c r="M13" s="155" t="s">
        <v>109</v>
      </c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1824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>SUM(K9:K12)</f>
        <v>0</v>
      </c>
      <c r="L14" s="8">
        <f>SUM(L9:L12)</f>
        <v>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1824</v>
      </c>
      <c r="G26" s="10">
        <f t="shared" si="0"/>
        <v>0</v>
      </c>
      <c r="H26" s="70"/>
      <c r="I26" s="10">
        <f t="shared" ref="I26" si="1">I14-I25</f>
        <v>0</v>
      </c>
      <c r="J26" s="50">
        <f t="shared" ref="J26:K26" si="2">J14-J25</f>
        <v>0</v>
      </c>
      <c r="K26" s="10">
        <f t="shared" si="2"/>
        <v>0</v>
      </c>
      <c r="L26" s="10">
        <f t="shared" ref="L26" si="3">L14-L25</f>
        <v>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/>
      <c r="L29" s="35"/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125">
        <v>-2456</v>
      </c>
      <c r="J31" s="56">
        <v>868</v>
      </c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-2456</v>
      </c>
      <c r="J32" s="47">
        <f t="shared" ref="J32:K32" si="5">SUM(J28:J31)</f>
        <v>868</v>
      </c>
      <c r="K32" s="13">
        <f t="shared" si="5"/>
        <v>0</v>
      </c>
      <c r="L32" s="13">
        <f t="shared" ref="L32" si="6">SUM(L28:L31)</f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-2456</v>
      </c>
      <c r="J36" s="51">
        <f t="shared" ref="J36:K36" si="13">J32-J35</f>
        <v>868</v>
      </c>
      <c r="K36" s="14">
        <f t="shared" si="13"/>
        <v>0</v>
      </c>
      <c r="L36" s="14">
        <f t="shared" ref="L36" si="14">L32-L35</f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1824</v>
      </c>
      <c r="G37" s="16">
        <f t="shared" si="15"/>
        <v>0</v>
      </c>
      <c r="I37" s="52">
        <f t="shared" ref="I37" si="16">I36+I26</f>
        <v>-2456</v>
      </c>
      <c r="J37" s="52">
        <f t="shared" ref="J37:K37" si="17">J36+J26</f>
        <v>868</v>
      </c>
      <c r="K37" s="16">
        <f t="shared" si="17"/>
        <v>0</v>
      </c>
      <c r="L37" s="16">
        <f t="shared" ref="L37" si="18">L36+L26</f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37608</v>
      </c>
      <c r="J40" s="120">
        <f>J4+J37</f>
        <v>38476</v>
      </c>
      <c r="K40" s="120">
        <f>K4+K37</f>
        <v>38476</v>
      </c>
      <c r="L40" s="120">
        <f>L4+L37</f>
        <v>38476</v>
      </c>
    </row>
  </sheetData>
  <mergeCells count="1">
    <mergeCell ref="F3:G3"/>
  </mergeCells>
  <pageMargins left="0.25" right="0.25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0"/>
  <sheetViews>
    <sheetView zoomScale="125" zoomScaleNormal="125" zoomScalePageLayoutView="125" workbookViewId="0">
      <pane xSplit="5" ySplit="4" topLeftCell="F5" activePane="bottomRight" state="frozen"/>
      <selection activeCell="I16" sqref="I16"/>
      <selection pane="topRight" activeCell="I16" sqref="I16"/>
      <selection pane="bottomLeft" activeCell="I16" sqref="I16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4" width="11.1640625" style="2" customWidth="1"/>
    <col min="15" max="16" width="8.83203125" style="2"/>
    <col min="17" max="17" width="10" style="2" bestFit="1" customWidth="1"/>
    <col min="18" max="16384" width="8.83203125" style="2"/>
  </cols>
  <sheetData>
    <row r="1" spans="1:15" ht="16" x14ac:dyDescent="0.2">
      <c r="A1" s="17" t="s">
        <v>15</v>
      </c>
      <c r="B1" s="1"/>
      <c r="C1" s="1"/>
      <c r="D1" s="1"/>
      <c r="E1" s="1"/>
      <c r="I1" s="40"/>
    </row>
    <row r="2" spans="1:15" x14ac:dyDescent="0.2">
      <c r="A2" s="20"/>
      <c r="B2" s="1"/>
      <c r="C2" s="1"/>
      <c r="D2" s="1"/>
      <c r="E2" s="1"/>
      <c r="F2" s="19"/>
      <c r="H2" s="59"/>
      <c r="I2" s="19"/>
    </row>
    <row r="3" spans="1:15" ht="18" x14ac:dyDescent="0.2">
      <c r="A3" s="1"/>
      <c r="B3" s="1"/>
      <c r="C3" s="1"/>
      <c r="D3" s="1"/>
      <c r="E3" s="78" t="s">
        <v>43</v>
      </c>
      <c r="F3" s="289"/>
      <c r="G3" s="289"/>
      <c r="H3" s="59"/>
      <c r="I3" s="21"/>
      <c r="J3" s="59"/>
      <c r="K3" s="59"/>
      <c r="L3" s="59"/>
    </row>
    <row r="4" spans="1:15" ht="18" x14ac:dyDescent="0.2">
      <c r="A4" s="1"/>
      <c r="B4" s="1"/>
      <c r="C4" s="1"/>
      <c r="D4" s="1"/>
      <c r="E4" s="78"/>
      <c r="F4" s="113"/>
      <c r="G4" s="113"/>
      <c r="H4" s="118"/>
      <c r="I4" s="21"/>
      <c r="J4" s="59"/>
      <c r="K4" s="59"/>
      <c r="L4" s="59"/>
    </row>
    <row r="5" spans="1:15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5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5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46"/>
      <c r="L7" s="46"/>
    </row>
    <row r="8" spans="1:15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46"/>
      <c r="L8" s="46"/>
    </row>
    <row r="9" spans="1:15" x14ac:dyDescent="0.2">
      <c r="A9" s="1"/>
      <c r="B9" s="1"/>
      <c r="C9" s="1"/>
      <c r="D9" s="1"/>
      <c r="E9" s="128" t="s">
        <v>57</v>
      </c>
      <c r="F9" s="12"/>
      <c r="G9" s="13"/>
      <c r="H9" s="62"/>
      <c r="I9" s="98">
        <v>423</v>
      </c>
      <c r="J9" s="47">
        <v>505</v>
      </c>
      <c r="K9" s="47"/>
      <c r="L9" s="47"/>
    </row>
    <row r="10" spans="1:15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47"/>
      <c r="L10" s="47"/>
    </row>
    <row r="11" spans="1:15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47"/>
      <c r="L11" s="47"/>
    </row>
    <row r="12" spans="1:15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>
        <v>213.45</v>
      </c>
      <c r="K12" s="47"/>
      <c r="L12" s="47"/>
    </row>
    <row r="13" spans="1:15" ht="16" thickBot="1" x14ac:dyDescent="0.25">
      <c r="A13" s="1"/>
      <c r="B13" s="1"/>
      <c r="C13" s="1"/>
      <c r="D13" s="1"/>
      <c r="E13" s="43" t="s">
        <v>60</v>
      </c>
      <c r="F13" s="34">
        <v>692</v>
      </c>
      <c r="G13" s="35">
        <v>726</v>
      </c>
      <c r="H13" s="62"/>
      <c r="I13" s="13">
        <v>435</v>
      </c>
      <c r="J13" s="48">
        <v>149</v>
      </c>
      <c r="K13" s="13">
        <v>118.44</v>
      </c>
      <c r="L13" s="13">
        <v>100</v>
      </c>
    </row>
    <row r="14" spans="1:15" ht="16" thickBot="1" x14ac:dyDescent="0.25">
      <c r="A14" s="1"/>
      <c r="B14" s="1"/>
      <c r="C14" s="1"/>
      <c r="D14" s="1" t="s">
        <v>6</v>
      </c>
      <c r="E14" s="31"/>
      <c r="F14" s="7">
        <f>SUM(F9:F13)</f>
        <v>692</v>
      </c>
      <c r="G14" s="8">
        <f>SUM(G9:G13)</f>
        <v>726</v>
      </c>
      <c r="H14" s="62"/>
      <c r="I14" s="8">
        <f>SUM(I9:I13)</f>
        <v>858</v>
      </c>
      <c r="J14" s="49">
        <f>SUM(J9:J13)</f>
        <v>867.45</v>
      </c>
      <c r="K14" s="49">
        <f>SUM(K9:K13)</f>
        <v>118.44</v>
      </c>
      <c r="L14" s="49">
        <f>SUM(L9:L13)</f>
        <v>100</v>
      </c>
    </row>
    <row r="15" spans="1:15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47"/>
      <c r="L15" s="47"/>
    </row>
    <row r="16" spans="1:15" ht="16" x14ac:dyDescent="0.2">
      <c r="A16" s="1"/>
      <c r="B16" s="1"/>
      <c r="C16" s="1"/>
      <c r="D16" s="1"/>
      <c r="E16" s="43" t="s">
        <v>61</v>
      </c>
      <c r="F16" s="12">
        <v>36500</v>
      </c>
      <c r="G16" s="13">
        <v>30743</v>
      </c>
      <c r="H16" s="62"/>
      <c r="I16" s="13">
        <f>24+36784+3</f>
        <v>36811</v>
      </c>
      <c r="J16" s="48">
        <v>26112</v>
      </c>
      <c r="K16" s="48">
        <v>32182</v>
      </c>
      <c r="L16" s="48">
        <v>30230</v>
      </c>
      <c r="M16" s="281"/>
      <c r="N16" s="285"/>
      <c r="O16" s="281"/>
    </row>
    <row r="17" spans="1:19" x14ac:dyDescent="0.2">
      <c r="A17" s="1"/>
      <c r="B17" s="1"/>
      <c r="C17" s="1"/>
      <c r="D17" s="1"/>
      <c r="E17" s="43" t="s">
        <v>62</v>
      </c>
      <c r="F17" s="34">
        <v>35500</v>
      </c>
      <c r="G17" s="35">
        <v>26500</v>
      </c>
      <c r="H17" s="84"/>
      <c r="I17" s="13">
        <v>33402</v>
      </c>
      <c r="J17" s="48">
        <v>16775</v>
      </c>
      <c r="K17" s="48">
        <f>35000+(0.1*20000)</f>
        <v>37000</v>
      </c>
      <c r="L17" s="35">
        <f>25000+(0.1*21000)</f>
        <v>27100</v>
      </c>
      <c r="M17" s="2" t="s">
        <v>114</v>
      </c>
    </row>
    <row r="18" spans="1:19" x14ac:dyDescent="0.2">
      <c r="A18" s="1"/>
      <c r="B18" s="1"/>
      <c r="C18" s="1"/>
      <c r="D18" s="1"/>
      <c r="E18" s="43" t="s">
        <v>63</v>
      </c>
      <c r="F18" s="34">
        <v>7200</v>
      </c>
      <c r="G18" s="35">
        <v>6800</v>
      </c>
      <c r="H18" s="92"/>
      <c r="I18" s="13">
        <v>8453</v>
      </c>
      <c r="J18" s="48">
        <v>4492</v>
      </c>
      <c r="K18" s="35">
        <v>8000</v>
      </c>
      <c r="L18" s="35">
        <v>8000</v>
      </c>
      <c r="M18" s="2" t="s">
        <v>120</v>
      </c>
    </row>
    <row r="19" spans="1:19" x14ac:dyDescent="0.2">
      <c r="A19" s="1"/>
      <c r="B19" s="1"/>
      <c r="C19" s="1"/>
      <c r="D19" s="1"/>
      <c r="E19" s="43" t="s">
        <v>64</v>
      </c>
      <c r="F19" s="34"/>
      <c r="G19" s="35"/>
      <c r="H19" s="92"/>
      <c r="I19" s="13">
        <v>2792</v>
      </c>
      <c r="J19" s="48">
        <v>2813</v>
      </c>
      <c r="K19" s="48">
        <v>1500</v>
      </c>
      <c r="L19" s="35">
        <v>1500</v>
      </c>
      <c r="M19" s="2" t="s">
        <v>86</v>
      </c>
    </row>
    <row r="20" spans="1:19" x14ac:dyDescent="0.2">
      <c r="A20" s="1"/>
      <c r="B20" s="1"/>
      <c r="C20" s="1"/>
      <c r="D20" s="1"/>
      <c r="E20" s="43" t="s">
        <v>65</v>
      </c>
      <c r="F20" s="34">
        <v>33000</v>
      </c>
      <c r="G20" s="35">
        <v>22500</v>
      </c>
      <c r="H20" s="93"/>
      <c r="I20" s="13">
        <v>10759</v>
      </c>
      <c r="J20" s="48">
        <v>7645</v>
      </c>
      <c r="K20" s="48">
        <v>4600</v>
      </c>
      <c r="L20" s="48">
        <v>4515</v>
      </c>
    </row>
    <row r="21" spans="1:19" x14ac:dyDescent="0.2">
      <c r="A21" s="1"/>
      <c r="B21" s="1"/>
      <c r="C21" s="1"/>
      <c r="D21" s="1"/>
      <c r="E21" s="43" t="s">
        <v>66</v>
      </c>
      <c r="F21" s="34"/>
      <c r="G21" s="35"/>
      <c r="H21" s="71"/>
      <c r="I21" s="13">
        <v>0</v>
      </c>
      <c r="J21" s="48">
        <v>0</v>
      </c>
      <c r="K21" s="48">
        <v>0</v>
      </c>
      <c r="L21" s="35"/>
    </row>
    <row r="22" spans="1:19" x14ac:dyDescent="0.2">
      <c r="A22" s="1"/>
      <c r="B22" s="1"/>
      <c r="C22" s="1"/>
      <c r="D22" s="1"/>
      <c r="E22" s="43" t="s">
        <v>67</v>
      </c>
      <c r="F22" s="34"/>
      <c r="G22" s="35"/>
      <c r="H22" s="71"/>
      <c r="I22" s="13">
        <v>0</v>
      </c>
      <c r="J22" s="48">
        <v>0</v>
      </c>
      <c r="K22" s="48"/>
      <c r="L22" s="35"/>
    </row>
    <row r="23" spans="1:19" x14ac:dyDescent="0.2">
      <c r="A23" s="1"/>
      <c r="B23" s="1"/>
      <c r="C23" s="1"/>
      <c r="D23" s="1"/>
      <c r="E23" s="43" t="s">
        <v>68</v>
      </c>
      <c r="F23" s="34">
        <v>1000</v>
      </c>
      <c r="G23" s="35">
        <v>1000</v>
      </c>
      <c r="H23" s="71"/>
      <c r="I23" s="13">
        <v>2841</v>
      </c>
      <c r="J23" s="48">
        <v>1213</v>
      </c>
      <c r="K23" s="48">
        <v>1000</v>
      </c>
      <c r="L23" s="48">
        <v>1000</v>
      </c>
    </row>
    <row r="24" spans="1:19" ht="16" thickBot="1" x14ac:dyDescent="0.25">
      <c r="A24" s="1"/>
      <c r="B24" s="1"/>
      <c r="C24" s="1"/>
      <c r="D24" s="1"/>
      <c r="E24" s="43" t="s">
        <v>14</v>
      </c>
      <c r="F24" s="34"/>
      <c r="G24" s="35"/>
      <c r="H24" s="71"/>
      <c r="I24" s="94"/>
      <c r="J24" s="48"/>
      <c r="K24" s="48"/>
      <c r="L24" s="35"/>
    </row>
    <row r="25" spans="1:19" ht="16" thickBot="1" x14ac:dyDescent="0.25">
      <c r="A25" s="1"/>
      <c r="B25" s="1"/>
      <c r="C25" s="1"/>
      <c r="D25" s="1" t="s">
        <v>7</v>
      </c>
      <c r="E25" s="31"/>
      <c r="F25" s="7">
        <f>SUM(F16:F24)</f>
        <v>113200</v>
      </c>
      <c r="G25" s="8">
        <f>SUM(G16:G24)</f>
        <v>87543</v>
      </c>
      <c r="H25" s="62"/>
      <c r="I25" s="13">
        <f>SUM(I16:I24)</f>
        <v>95058</v>
      </c>
      <c r="J25" s="49">
        <f>SUM(J16:J24)</f>
        <v>59050</v>
      </c>
      <c r="K25" s="49">
        <f>SUM(K16:K24)</f>
        <v>84282</v>
      </c>
      <c r="L25" s="49">
        <f>SUM(L16:L24)</f>
        <v>72345</v>
      </c>
    </row>
    <row r="26" spans="1:19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>F14-F25</f>
        <v>-112508</v>
      </c>
      <c r="G26" s="10">
        <f>G14-G25</f>
        <v>-86817</v>
      </c>
      <c r="H26" s="70"/>
      <c r="I26" s="10">
        <f t="shared" ref="I26" si="0">I14-I25</f>
        <v>-94200</v>
      </c>
      <c r="J26" s="50">
        <f>J14-J25</f>
        <v>-58182.55</v>
      </c>
      <c r="K26" s="50">
        <f>K14-K25</f>
        <v>-84163.56</v>
      </c>
      <c r="L26" s="50">
        <f>L14-L25</f>
        <v>-72245</v>
      </c>
    </row>
    <row r="27" spans="1:19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48"/>
      <c r="L27" s="48"/>
    </row>
    <row r="28" spans="1:19" x14ac:dyDescent="0.2">
      <c r="A28" s="1"/>
      <c r="B28" s="1"/>
      <c r="C28" s="1" t="s">
        <v>8</v>
      </c>
      <c r="D28" s="1"/>
      <c r="E28" s="31"/>
      <c r="F28" s="12"/>
      <c r="G28" s="13"/>
      <c r="H28" s="62"/>
      <c r="J28" s="48"/>
      <c r="K28" s="48"/>
      <c r="L28" s="48"/>
    </row>
    <row r="29" spans="1:19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96799</v>
      </c>
      <c r="J29" s="48">
        <v>27000</v>
      </c>
      <c r="K29" s="278">
        <f>-('Elkinton 210'!K29+'Founders Fund 220'!K29+'Stewardship 230'!K29+'Bogert 320'!K29+'Green Fund 270'!K29)+8000+2000</f>
        <v>47652.77</v>
      </c>
      <c r="L29" s="278">
        <f>-('Elkinton 210'!L29+'Founders Fund 220'!L29+'Stewardship 230'!L29+'Bogert 320'!L29+'Green Fund 270'!L29)+8000+2000</f>
        <v>35604.786</v>
      </c>
      <c r="M29" s="6" t="s">
        <v>122</v>
      </c>
      <c r="N29" s="278">
        <f>-('Elkinton 210'!K29+'Founders Fund 220'!K29+'Stewardship 230'!L29+'Bogert 320'!K29+'Green Fund 270'!K29)+8000+1000</f>
        <v>46652.77</v>
      </c>
      <c r="O29" s="2" t="s">
        <v>127</v>
      </c>
      <c r="S29" s="284" t="s">
        <v>176</v>
      </c>
    </row>
    <row r="30" spans="1:19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>
        <v>0</v>
      </c>
      <c r="J30" s="48"/>
      <c r="K30" s="48"/>
      <c r="L30" s="48"/>
      <c r="M30" s="6" t="s">
        <v>123</v>
      </c>
      <c r="N30" s="278">
        <f>-('Elkinton 210'!L29+'Founders Fund 220'!L29+'Stewardship 230'!L29+'Bogert 320'!L29+'Green Fund 270'!L29)+8000</f>
        <v>33604.786</v>
      </c>
      <c r="O30" s="2" t="s">
        <v>127</v>
      </c>
      <c r="S30" s="284" t="s">
        <v>176</v>
      </c>
    </row>
    <row r="31" spans="1:19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6"/>
      <c r="L31" s="56"/>
    </row>
    <row r="32" spans="1:19" x14ac:dyDescent="0.2">
      <c r="A32" s="1"/>
      <c r="B32" s="1"/>
      <c r="C32" s="1" t="s">
        <v>10</v>
      </c>
      <c r="D32" s="1"/>
      <c r="E32" s="31"/>
      <c r="F32" s="12">
        <f t="shared" ref="F32:G32" si="1">SUM(F28:F31)</f>
        <v>0</v>
      </c>
      <c r="G32" s="13">
        <f t="shared" si="1"/>
        <v>0</v>
      </c>
      <c r="I32" s="47">
        <f>SUM(I29:I31)</f>
        <v>96799</v>
      </c>
      <c r="J32" s="47">
        <f>SUM(J28:J31)</f>
        <v>27000</v>
      </c>
      <c r="K32" s="47">
        <f t="shared" ref="K32" si="2">SUM(K28:K31)</f>
        <v>47652.77</v>
      </c>
      <c r="L32" s="47">
        <f t="shared" ref="L32" si="3">SUM(L28:L31)</f>
        <v>35604.786</v>
      </c>
    </row>
    <row r="33" spans="1:17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47"/>
      <c r="L33" s="47"/>
    </row>
    <row r="34" spans="1:17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>
        <v>137</v>
      </c>
      <c r="J34" s="47"/>
      <c r="K34" s="47"/>
      <c r="L34" s="47"/>
    </row>
    <row r="35" spans="1:17" ht="16" thickBot="1" x14ac:dyDescent="0.25">
      <c r="A35" s="1"/>
      <c r="B35" s="1"/>
      <c r="C35" s="1" t="s">
        <v>12</v>
      </c>
      <c r="D35" s="1"/>
      <c r="E35" s="31"/>
      <c r="F35" s="11">
        <f t="shared" ref="F35:G35" si="4">F34</f>
        <v>0</v>
      </c>
      <c r="G35" s="14">
        <f t="shared" si="4"/>
        <v>0</v>
      </c>
      <c r="I35" s="51">
        <f>I34</f>
        <v>137</v>
      </c>
      <c r="J35" s="51">
        <f t="shared" ref="J35:K35" si="5">J34</f>
        <v>0</v>
      </c>
      <c r="K35" s="51">
        <f t="shared" si="5"/>
        <v>0</v>
      </c>
      <c r="L35" s="51">
        <f t="shared" ref="L35" si="6">L34</f>
        <v>0</v>
      </c>
      <c r="Q35" s="288">
        <f>K29-N29</f>
        <v>1000</v>
      </c>
    </row>
    <row r="36" spans="1:17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7">F32-F35</f>
        <v>0</v>
      </c>
      <c r="G36" s="14">
        <f t="shared" si="7"/>
        <v>0</v>
      </c>
      <c r="I36" s="51">
        <f t="shared" ref="I36" si="8">I32-I35</f>
        <v>96662</v>
      </c>
      <c r="J36" s="51">
        <f t="shared" ref="J36:K36" si="9">J32-J35</f>
        <v>27000</v>
      </c>
      <c r="K36" s="51">
        <f t="shared" si="9"/>
        <v>47652.77</v>
      </c>
      <c r="L36" s="51">
        <f t="shared" ref="L36" si="10">L32-L35</f>
        <v>35604.786</v>
      </c>
    </row>
    <row r="37" spans="1:17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1">F36+F26</f>
        <v>-112508</v>
      </c>
      <c r="G37" s="16">
        <f t="shared" si="11"/>
        <v>-86817</v>
      </c>
      <c r="I37" s="52">
        <f t="shared" ref="I37" si="12">I36+I26</f>
        <v>2462</v>
      </c>
      <c r="J37" s="52">
        <f t="shared" ref="J37:K37" si="13">J36+J26</f>
        <v>-31182.550000000003</v>
      </c>
      <c r="K37" s="52">
        <f t="shared" si="13"/>
        <v>-36510.79</v>
      </c>
      <c r="L37" s="52">
        <f t="shared" ref="L37" si="14">L36+L26</f>
        <v>-36640.214</v>
      </c>
    </row>
    <row r="38" spans="1:17" ht="17" thickTop="1" thickBot="1" x14ac:dyDescent="0.25">
      <c r="E38" s="33"/>
      <c r="F38" s="29"/>
      <c r="G38" s="30"/>
      <c r="I38" s="53"/>
      <c r="J38" s="53"/>
      <c r="K38" s="53"/>
      <c r="L38" s="53"/>
    </row>
    <row r="39" spans="1:17" ht="16" thickTop="1" x14ac:dyDescent="0.2"/>
    <row r="40" spans="1:17" x14ac:dyDescent="0.2">
      <c r="H40" s="118"/>
    </row>
  </sheetData>
  <mergeCells count="1">
    <mergeCell ref="F3:G3"/>
  </mergeCells>
  <pageMargins left="0.25" right="0.25" top="0.75" bottom="0.75" header="0.3" footer="0.3"/>
  <pageSetup scale="50" orientation="landscape" r:id="rId1"/>
  <headerFooter>
    <oddFooter>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1"/>
      <c r="I2" s="19"/>
    </row>
    <row r="3" spans="1:13" ht="18" x14ac:dyDescent="0.2">
      <c r="A3" s="1"/>
      <c r="B3" s="1"/>
      <c r="C3" s="1"/>
      <c r="D3" s="1"/>
      <c r="E3" s="77" t="s">
        <v>50</v>
      </c>
      <c r="F3"/>
      <c r="G3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3" ht="18" x14ac:dyDescent="0.2">
      <c r="A4" s="1"/>
      <c r="B4" s="1"/>
      <c r="C4" s="1"/>
      <c r="D4" s="1"/>
      <c r="E4" s="77"/>
      <c r="F4"/>
      <c r="G4"/>
      <c r="H4" s="118" t="s">
        <v>112</v>
      </c>
      <c r="I4" s="119">
        <v>578764</v>
      </c>
      <c r="J4" s="120">
        <f>I40</f>
        <v>543287</v>
      </c>
      <c r="K4" s="120">
        <f>J40</f>
        <v>555815</v>
      </c>
      <c r="L4" s="120">
        <f>K40</f>
        <v>555815</v>
      </c>
    </row>
    <row r="5" spans="1:13" ht="16" thickBot="1" x14ac:dyDescent="0.25">
      <c r="A5" s="1"/>
      <c r="B5" s="1"/>
      <c r="C5" s="1"/>
      <c r="D5" s="1"/>
      <c r="E5"/>
      <c r="F5"/>
      <c r="G5"/>
      <c r="I5" s="60"/>
      <c r="J5"/>
      <c r="K5"/>
      <c r="L5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23" t="s">
        <v>19</v>
      </c>
      <c r="G6" s="45" t="s">
        <v>20</v>
      </c>
      <c r="I6" s="45" t="s">
        <v>26</v>
      </c>
      <c r="J6" s="305" t="s">
        <v>187</v>
      </c>
      <c r="K6" s="45" t="s">
        <v>17</v>
      </c>
      <c r="L6" s="45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3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3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3" ht="16" thickBot="1" x14ac:dyDescent="0.25">
      <c r="A13" s="1"/>
      <c r="B13" s="1"/>
      <c r="C13" s="1"/>
      <c r="D13" s="1"/>
      <c r="E13" s="43" t="s">
        <v>60</v>
      </c>
      <c r="F13" s="34">
        <v>26347</v>
      </c>
      <c r="G13" s="35"/>
      <c r="H13" s="62"/>
      <c r="I13" s="13"/>
      <c r="J13" s="48"/>
      <c r="K13" s="154"/>
      <c r="L13" s="153"/>
      <c r="M13" s="2" t="s">
        <v>107</v>
      </c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26347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>SUM(K9:K12)</f>
        <v>0</v>
      </c>
      <c r="L14" s="8">
        <f>SUM(L9:L12)</f>
        <v>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2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2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2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2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>
        <v>570</v>
      </c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570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26347</v>
      </c>
      <c r="G26" s="10">
        <f t="shared" si="0"/>
        <v>0</v>
      </c>
      <c r="H26" s="70"/>
      <c r="I26" s="10">
        <f t="shared" ref="I26" si="1">I14-I25</f>
        <v>-570</v>
      </c>
      <c r="J26" s="50">
        <f t="shared" ref="J26:K26" si="2">J14-J25</f>
        <v>0</v>
      </c>
      <c r="K26" s="10">
        <f t="shared" si="2"/>
        <v>0</v>
      </c>
      <c r="L26" s="10">
        <f t="shared" ref="L26" si="3">L14-L25</f>
        <v>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/>
      <c r="L29" s="35"/>
    </row>
    <row r="30" spans="1:12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>
        <v>-34907</v>
      </c>
      <c r="J31" s="56">
        <v>12528</v>
      </c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H32" s="62"/>
      <c r="I32" s="13">
        <f>SUM(I28:I31)</f>
        <v>-34907</v>
      </c>
      <c r="J32" s="47">
        <f t="shared" ref="J32:K32" si="5">SUM(J28:J31)</f>
        <v>12528</v>
      </c>
      <c r="K32" s="13">
        <f t="shared" si="5"/>
        <v>0</v>
      </c>
      <c r="L32" s="13">
        <f t="shared" ref="L32" si="6">SUM(L28:L31)</f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H33" s="62"/>
      <c r="I33" s="13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-34907</v>
      </c>
      <c r="J36" s="51">
        <f t="shared" ref="J36:K36" si="13">J32-J35</f>
        <v>12528</v>
      </c>
      <c r="K36" s="14">
        <f t="shared" si="13"/>
        <v>0</v>
      </c>
      <c r="L36" s="14">
        <f t="shared" ref="L36" si="14">L32-L35</f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26347</v>
      </c>
      <c r="G37" s="16">
        <f t="shared" si="15"/>
        <v>0</v>
      </c>
      <c r="I37" s="52">
        <f t="shared" ref="I37" si="16">I36+I26</f>
        <v>-35477</v>
      </c>
      <c r="J37" s="52">
        <f t="shared" ref="J37:K37" si="17">J36+J26</f>
        <v>12528</v>
      </c>
      <c r="K37" s="16">
        <f t="shared" si="17"/>
        <v>0</v>
      </c>
      <c r="L37" s="16">
        <f t="shared" ref="L37" si="18">L36+L26</f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543287</v>
      </c>
      <c r="J40" s="120">
        <f>J4+J37</f>
        <v>555815</v>
      </c>
      <c r="K40" s="120">
        <f>K4+K37</f>
        <v>555815</v>
      </c>
      <c r="L40" s="120">
        <f>L4+L37</f>
        <v>555815</v>
      </c>
    </row>
  </sheetData>
  <pageMargins left="0.25" right="0.25" top="0.75" bottom="0.75" header="0.3" footer="0.3"/>
  <pageSetup scale="6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1"/>
      <c r="I2" s="19"/>
    </row>
    <row r="3" spans="1:13" ht="18" x14ac:dyDescent="0.2">
      <c r="A3" s="1"/>
      <c r="B3" s="1"/>
      <c r="C3" s="1"/>
      <c r="D3" s="1"/>
      <c r="E3" s="77" t="s">
        <v>49</v>
      </c>
      <c r="F3"/>
      <c r="G3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3" ht="18" x14ac:dyDescent="0.2">
      <c r="A4" s="1"/>
      <c r="B4" s="1"/>
      <c r="C4" s="1"/>
      <c r="D4" s="1"/>
      <c r="E4" s="77"/>
      <c r="F4"/>
      <c r="G4"/>
      <c r="H4" s="118" t="s">
        <v>112</v>
      </c>
      <c r="I4" s="119">
        <v>3114</v>
      </c>
      <c r="J4" s="120">
        <f>I40</f>
        <v>2924</v>
      </c>
      <c r="K4" s="120">
        <f>J40</f>
        <v>2991</v>
      </c>
      <c r="L4" s="120">
        <f>K40</f>
        <v>2991</v>
      </c>
    </row>
    <row r="5" spans="1:13" ht="16" thickBot="1" x14ac:dyDescent="0.25">
      <c r="A5" s="1"/>
      <c r="B5" s="1"/>
      <c r="C5" s="1"/>
      <c r="D5" s="1"/>
      <c r="E5"/>
      <c r="F5"/>
      <c r="G5"/>
      <c r="I5" s="60"/>
      <c r="J5"/>
      <c r="K5"/>
      <c r="L5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23" t="s">
        <v>19</v>
      </c>
      <c r="G6" s="45" t="s">
        <v>20</v>
      </c>
      <c r="I6" s="45" t="s">
        <v>26</v>
      </c>
      <c r="J6" s="305" t="s">
        <v>187</v>
      </c>
      <c r="K6" s="45" t="s">
        <v>17</v>
      </c>
      <c r="L6" s="45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3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69"/>
      <c r="J10" s="47"/>
      <c r="K10" s="13"/>
      <c r="L10" s="13"/>
    </row>
    <row r="11" spans="1:13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3" ht="16" thickBot="1" x14ac:dyDescent="0.25">
      <c r="A13" s="1"/>
      <c r="B13" s="1"/>
      <c r="C13" s="1"/>
      <c r="D13" s="1"/>
      <c r="E13" s="43" t="s">
        <v>60</v>
      </c>
      <c r="F13" s="12">
        <v>140</v>
      </c>
      <c r="G13" s="13"/>
      <c r="H13" s="62"/>
      <c r="I13" s="13"/>
      <c r="J13" s="47"/>
      <c r="K13" s="154"/>
      <c r="L13" s="153"/>
      <c r="M13" s="2" t="s">
        <v>105</v>
      </c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140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>SUM(K9:K12)</f>
        <v>0</v>
      </c>
      <c r="L14" s="8">
        <f>SUM(L9:L12)</f>
        <v>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/>
      <c r="G16" s="13"/>
      <c r="H16" s="62"/>
      <c r="I16" s="13"/>
      <c r="J16" s="48"/>
      <c r="K16" s="35"/>
      <c r="L16" s="35"/>
    </row>
    <row r="17" spans="1:14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/>
      <c r="J17" s="48"/>
      <c r="K17" s="35"/>
      <c r="L17" s="35"/>
    </row>
    <row r="18" spans="1:14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/>
      <c r="J18" s="48"/>
      <c r="K18" s="35"/>
      <c r="L18" s="35"/>
    </row>
    <row r="19" spans="1:14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/>
      <c r="J19" s="48"/>
      <c r="K19" s="35"/>
      <c r="L19" s="35"/>
    </row>
    <row r="20" spans="1:14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/>
      <c r="J20" s="48"/>
      <c r="K20" s="35"/>
      <c r="L20" s="35"/>
    </row>
    <row r="21" spans="1:14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4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4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4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4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4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140</v>
      </c>
      <c r="G26" s="10">
        <f t="shared" si="0"/>
        <v>0</v>
      </c>
      <c r="H26" s="70"/>
      <c r="I26" s="10">
        <f t="shared" ref="I26" si="1">I14-I25</f>
        <v>0</v>
      </c>
      <c r="J26" s="50">
        <f t="shared" ref="J26:K26" si="2">J14-J25</f>
        <v>0</v>
      </c>
      <c r="K26" s="10">
        <f t="shared" si="2"/>
        <v>0</v>
      </c>
      <c r="L26" s="10">
        <f t="shared" ref="L26" si="3">L14-L25</f>
        <v>0</v>
      </c>
      <c r="N26"/>
    </row>
    <row r="27" spans="1:14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4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4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/>
      <c r="J29" s="48"/>
      <c r="K29" s="35"/>
      <c r="L29" s="35"/>
    </row>
    <row r="30" spans="1:14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4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>
        <v>-190</v>
      </c>
      <c r="J31" s="56">
        <v>67</v>
      </c>
      <c r="K31" s="57"/>
      <c r="L31" s="57"/>
    </row>
    <row r="32" spans="1:14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-190</v>
      </c>
      <c r="J32" s="47">
        <f t="shared" ref="J32:K32" si="5">SUM(J28:J31)</f>
        <v>67</v>
      </c>
      <c r="K32" s="13">
        <f t="shared" si="5"/>
        <v>0</v>
      </c>
      <c r="L32" s="13">
        <f t="shared" ref="L32" si="6">SUM(L28:L31)</f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-190</v>
      </c>
      <c r="J36" s="51">
        <f t="shared" ref="J36:K36" si="13">J32-J35</f>
        <v>67</v>
      </c>
      <c r="K36" s="14">
        <f t="shared" si="13"/>
        <v>0</v>
      </c>
      <c r="L36" s="14">
        <f t="shared" ref="L36" si="14">L32-L35</f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140</v>
      </c>
      <c r="G37" s="16">
        <f t="shared" si="15"/>
        <v>0</v>
      </c>
      <c r="I37" s="52">
        <f t="shared" ref="I37" si="16">I36+I26</f>
        <v>-190</v>
      </c>
      <c r="J37" s="52">
        <f t="shared" ref="J37:K37" si="17">J36+J26</f>
        <v>67</v>
      </c>
      <c r="K37" s="16">
        <f t="shared" si="17"/>
        <v>0</v>
      </c>
      <c r="L37" s="16">
        <f t="shared" ref="L37" si="18">L36+L26</f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 t="s">
        <v>111</v>
      </c>
      <c r="I40" s="120">
        <f>I4+I37</f>
        <v>2924</v>
      </c>
      <c r="J40" s="120">
        <f>J4+J37</f>
        <v>2991</v>
      </c>
      <c r="K40" s="120">
        <f>K4+K37</f>
        <v>2991</v>
      </c>
      <c r="L40" s="120">
        <f>L4+L37</f>
        <v>2991</v>
      </c>
    </row>
  </sheetData>
  <pageMargins left="0.25" right="0.25" top="0.75" bottom="0.75" header="0.3" footer="0.3"/>
  <pageSetup scale="6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N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13.6640625" style="2" customWidth="1"/>
    <col min="14" max="16384" width="8.83203125" style="2"/>
  </cols>
  <sheetData>
    <row r="1" spans="1:14" ht="16" x14ac:dyDescent="0.2">
      <c r="A1" s="17" t="s">
        <v>15</v>
      </c>
      <c r="B1" s="1"/>
      <c r="C1" s="1"/>
      <c r="D1" s="1"/>
      <c r="E1" s="1"/>
      <c r="I1" s="40"/>
    </row>
    <row r="2" spans="1:14" x14ac:dyDescent="0.2">
      <c r="A2" s="20"/>
      <c r="B2" s="1"/>
      <c r="C2" s="1"/>
      <c r="D2" s="1"/>
      <c r="E2" s="1"/>
      <c r="I2" s="19"/>
    </row>
    <row r="3" spans="1:14" ht="18" x14ac:dyDescent="0.2">
      <c r="A3" s="1"/>
      <c r="B3" s="1"/>
      <c r="C3" s="1"/>
      <c r="D3" s="66"/>
      <c r="E3" s="76" t="s">
        <v>5</v>
      </c>
      <c r="G3"/>
      <c r="I3" s="135" t="s">
        <v>74</v>
      </c>
      <c r="J3" s="136" t="s">
        <v>75</v>
      </c>
      <c r="K3" s="136" t="s">
        <v>91</v>
      </c>
      <c r="L3" s="136" t="s">
        <v>93</v>
      </c>
    </row>
    <row r="4" spans="1:14" ht="18" x14ac:dyDescent="0.2">
      <c r="A4" s="1"/>
      <c r="B4" s="1"/>
      <c r="C4" s="1"/>
      <c r="D4" s="66"/>
      <c r="E4" s="76"/>
      <c r="G4"/>
      <c r="H4" s="118" t="s">
        <v>112</v>
      </c>
      <c r="I4" s="127">
        <f>SUM('Applegate 410:Cadwallader 430'!I4)</f>
        <v>621942</v>
      </c>
      <c r="J4" s="137">
        <f>I40</f>
        <v>583819</v>
      </c>
      <c r="K4" s="137">
        <f>J40</f>
        <v>597282</v>
      </c>
      <c r="L4" s="137">
        <f>K40</f>
        <v>597282</v>
      </c>
    </row>
    <row r="5" spans="1:14" ht="16" thickBot="1" x14ac:dyDescent="0.25">
      <c r="A5" s="1"/>
      <c r="B5" s="1"/>
      <c r="C5" s="1"/>
      <c r="D5" s="66"/>
      <c r="E5" s="66"/>
      <c r="G5"/>
      <c r="H5"/>
      <c r="I5"/>
      <c r="J5"/>
      <c r="K5"/>
      <c r="L5"/>
    </row>
    <row r="6" spans="1:14" s="24" customFormat="1" ht="37" customHeight="1" thickTop="1" thickBot="1" x14ac:dyDescent="0.25">
      <c r="A6" s="22"/>
      <c r="B6" s="22"/>
      <c r="C6" s="22"/>
      <c r="D6" s="22"/>
      <c r="E6" s="32"/>
      <c r="F6" s="23" t="s">
        <v>19</v>
      </c>
      <c r="G6" s="45" t="s">
        <v>20</v>
      </c>
      <c r="H6" s="2"/>
      <c r="I6" s="45" t="s">
        <v>26</v>
      </c>
      <c r="J6" s="305" t="s">
        <v>187</v>
      </c>
      <c r="K6" s="45" t="s">
        <v>17</v>
      </c>
      <c r="L6" s="45" t="s">
        <v>18</v>
      </c>
      <c r="M6" s="2"/>
      <c r="N6" s="2"/>
    </row>
    <row r="7" spans="1:14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4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4" x14ac:dyDescent="0.2">
      <c r="A9" s="1"/>
      <c r="B9" s="1"/>
      <c r="C9" s="1"/>
      <c r="D9" s="1"/>
      <c r="E9" s="128" t="s">
        <v>57</v>
      </c>
      <c r="F9" s="12">
        <f>SUM('Applegate 410:Cadwallader 430'!F9)</f>
        <v>0</v>
      </c>
      <c r="G9" s="13">
        <f>SUM('Applegate 410:Cadwallader 430'!G9)</f>
        <v>0</v>
      </c>
      <c r="H9" s="62"/>
      <c r="I9" s="47">
        <f>SUM('Applegate 410:Cadwallader 430'!I9)</f>
        <v>0</v>
      </c>
      <c r="J9" s="47">
        <f>SUM('Applegate 410:Cadwallader 430'!J9)</f>
        <v>0</v>
      </c>
      <c r="K9" s="13">
        <f>SUM('Applegate 410:Cadwallader 430'!K9)</f>
        <v>0</v>
      </c>
      <c r="L9" s="13">
        <f>SUM('Applegate 410:Cadwallader 430'!L9)</f>
        <v>0</v>
      </c>
    </row>
    <row r="10" spans="1:14" x14ac:dyDescent="0.2">
      <c r="A10" s="1"/>
      <c r="B10" s="1"/>
      <c r="C10" s="1"/>
      <c r="D10" s="1"/>
      <c r="E10" s="128" t="s">
        <v>56</v>
      </c>
      <c r="F10" s="12">
        <f>SUM('Applegate 410:Cadwallader 430'!F10)</f>
        <v>0</v>
      </c>
      <c r="G10" s="13">
        <f>SUM('Applegate 410:Cadwallader 430'!G10)</f>
        <v>0</v>
      </c>
      <c r="H10" s="62"/>
      <c r="I10" s="47">
        <f>SUM('Applegate 410:Cadwallader 430'!I10)</f>
        <v>0</v>
      </c>
      <c r="J10" s="47">
        <f>SUM('Applegate 410:Cadwallader 430'!J10)</f>
        <v>0</v>
      </c>
      <c r="K10" s="13">
        <f>SUM('Applegate 410:Cadwallader 430'!K10)</f>
        <v>0</v>
      </c>
      <c r="L10" s="13">
        <f>SUM('Applegate 410:Cadwallader 430'!L10)</f>
        <v>0</v>
      </c>
    </row>
    <row r="11" spans="1:14" x14ac:dyDescent="0.2">
      <c r="A11" s="1"/>
      <c r="B11" s="1"/>
      <c r="C11" s="1"/>
      <c r="D11" s="1"/>
      <c r="E11" s="43" t="s">
        <v>58</v>
      </c>
      <c r="F11" s="12">
        <f>SUM('Applegate 410:Cadwallader 430'!F11)</f>
        <v>0</v>
      </c>
      <c r="G11" s="13">
        <f>SUM('Applegate 410:Cadwallader 430'!G11)</f>
        <v>0</v>
      </c>
      <c r="H11" s="62"/>
      <c r="I11" s="47">
        <f>SUM('Applegate 410:Cadwallader 430'!I11)</f>
        <v>0</v>
      </c>
      <c r="J11" s="47">
        <f>SUM('Applegate 410:Cadwallader 430'!J11)</f>
        <v>0</v>
      </c>
      <c r="K11" s="13">
        <f>SUM('Applegate 410:Cadwallader 430'!K11)</f>
        <v>0</v>
      </c>
      <c r="L11" s="13">
        <f>SUM('Applegate 410:Cadwallader 430'!L11)</f>
        <v>0</v>
      </c>
    </row>
    <row r="12" spans="1:14" x14ac:dyDescent="0.2">
      <c r="A12" s="1"/>
      <c r="B12" s="1"/>
      <c r="C12" s="1"/>
      <c r="D12" s="1"/>
      <c r="E12" s="43" t="s">
        <v>59</v>
      </c>
      <c r="F12" s="12">
        <f>SUM('Applegate 410:Cadwallader 430'!F12)</f>
        <v>0</v>
      </c>
      <c r="G12" s="13">
        <f>SUM('Applegate 410:Cadwallader 430'!G12)</f>
        <v>0</v>
      </c>
      <c r="H12" s="62"/>
      <c r="I12" s="47">
        <f>SUM('Applegate 410:Cadwallader 430'!I12)</f>
        <v>0</v>
      </c>
      <c r="J12" s="47">
        <f>SUM('Applegate 410:Cadwallader 430'!J12)</f>
        <v>0</v>
      </c>
      <c r="K12" s="13">
        <f>SUM('Applegate 410:Cadwallader 430'!K12)</f>
        <v>0</v>
      </c>
      <c r="L12" s="13">
        <f>SUM('Applegate 410:Cadwallader 430'!L12)</f>
        <v>0</v>
      </c>
    </row>
    <row r="13" spans="1:14" ht="16" thickBot="1" x14ac:dyDescent="0.25">
      <c r="A13" s="1"/>
      <c r="B13" s="1"/>
      <c r="C13" s="1"/>
      <c r="D13" s="1"/>
      <c r="E13" s="43" t="s">
        <v>60</v>
      </c>
      <c r="F13" s="12">
        <f>SUM('Applegate 410:Cadwallader 430'!F13)</f>
        <v>28311</v>
      </c>
      <c r="G13" s="13">
        <f>SUM('Applegate 410:Cadwallader 430'!G13)</f>
        <v>0</v>
      </c>
      <c r="H13" s="62"/>
      <c r="I13" s="47">
        <f>SUM('Applegate 410:Cadwallader 430'!I13)</f>
        <v>0</v>
      </c>
      <c r="J13" s="47">
        <f>SUM('Applegate 410:Cadwallader 430'!J13)</f>
        <v>0</v>
      </c>
      <c r="K13" s="13">
        <f>SUM('Applegate 410:Cadwallader 430'!K13)</f>
        <v>0</v>
      </c>
      <c r="L13" s="13">
        <f>SUM('Applegate 410:Cadwallader 430'!L13)</f>
        <v>0</v>
      </c>
    </row>
    <row r="14" spans="1:14" ht="16" thickBot="1" x14ac:dyDescent="0.25">
      <c r="A14" s="1"/>
      <c r="B14" s="1"/>
      <c r="C14" s="1"/>
      <c r="D14" s="1" t="s">
        <v>6</v>
      </c>
      <c r="E14" s="31"/>
      <c r="F14" s="7">
        <f>SUM(F9:F13)</f>
        <v>28311</v>
      </c>
      <c r="G14" s="8">
        <f>SUM(G9:G13)</f>
        <v>0</v>
      </c>
      <c r="H14" s="62"/>
      <c r="I14" s="8">
        <f>SUM(I9:I13)</f>
        <v>0</v>
      </c>
      <c r="J14" s="49">
        <f>SUM(J9:J13)</f>
        <v>0</v>
      </c>
      <c r="K14" s="8">
        <f>SUM(K9:K13)</f>
        <v>0</v>
      </c>
      <c r="L14" s="8">
        <f>SUM(L9:L13)</f>
        <v>0</v>
      </c>
    </row>
    <row r="15" spans="1:14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4" x14ac:dyDescent="0.2">
      <c r="A16" s="1"/>
      <c r="B16" s="1"/>
      <c r="C16" s="1"/>
      <c r="D16" s="1"/>
      <c r="E16" s="43" t="s">
        <v>61</v>
      </c>
      <c r="F16" s="12">
        <f>SUM('Applegate 410:Cadwallader 430'!F15)</f>
        <v>0</v>
      </c>
      <c r="G16" s="13">
        <f>SUM('Applegate 410:Cadwallader 430'!G15)</f>
        <v>0</v>
      </c>
      <c r="H16" s="62"/>
      <c r="I16" s="47">
        <f>SUM('Applegate 410:Cadwallader 430'!I16)</f>
        <v>0</v>
      </c>
      <c r="J16" s="47">
        <f>SUM('Applegate 410:Cadwallader 430'!J16)</f>
        <v>0</v>
      </c>
      <c r="K16" s="13">
        <f>SUM('Applegate 410:Cadwallader 430'!K15)</f>
        <v>0</v>
      </c>
      <c r="L16" s="13">
        <f>SUM('Applegate 410:Cadwallader 430'!L15)</f>
        <v>0</v>
      </c>
    </row>
    <row r="17" spans="1:12" x14ac:dyDescent="0.2">
      <c r="A17" s="1"/>
      <c r="B17" s="1"/>
      <c r="C17" s="1"/>
      <c r="D17" s="1"/>
      <c r="E17" s="43" t="s">
        <v>62</v>
      </c>
      <c r="F17" s="12">
        <f>SUM('Applegate 410:Cadwallader 430'!F16)</f>
        <v>0</v>
      </c>
      <c r="G17" s="13">
        <f>SUM('Applegate 410:Cadwallader 430'!G16)</f>
        <v>0</v>
      </c>
      <c r="H17" s="62"/>
      <c r="I17" s="47">
        <f>SUM('Applegate 410:Cadwallader 430'!I17)</f>
        <v>0</v>
      </c>
      <c r="J17" s="47">
        <f>SUM('Applegate 410:Cadwallader 430'!J16)</f>
        <v>0</v>
      </c>
      <c r="K17" s="13">
        <f>SUM('Applegate 410:Cadwallader 430'!K16)</f>
        <v>0</v>
      </c>
      <c r="L17" s="13">
        <f>SUM('Applegate 410:Cadwallader 430'!L16)</f>
        <v>0</v>
      </c>
    </row>
    <row r="18" spans="1:12" x14ac:dyDescent="0.2">
      <c r="A18" s="1"/>
      <c r="B18" s="1"/>
      <c r="C18" s="1"/>
      <c r="D18" s="1"/>
      <c r="E18" s="43" t="s">
        <v>63</v>
      </c>
      <c r="F18" s="12">
        <f>SUM('Applegate 410:Cadwallader 430'!F17)</f>
        <v>0</v>
      </c>
      <c r="G18" s="13">
        <f>SUM('Applegate 410:Cadwallader 430'!G17)</f>
        <v>0</v>
      </c>
      <c r="H18" s="62"/>
      <c r="I18" s="47">
        <f>SUM('Applegate 410:Cadwallader 430'!I18)</f>
        <v>0</v>
      </c>
      <c r="J18" s="47">
        <f>SUM('Applegate 410:Cadwallader 430'!J17)</f>
        <v>0</v>
      </c>
      <c r="K18" s="13">
        <f>SUM('Applegate 410:Cadwallader 430'!K17)</f>
        <v>0</v>
      </c>
      <c r="L18" s="13">
        <f>SUM('Applegate 410:Cadwallader 430'!L17)</f>
        <v>0</v>
      </c>
    </row>
    <row r="19" spans="1:12" x14ac:dyDescent="0.2">
      <c r="A19" s="1"/>
      <c r="B19" s="1"/>
      <c r="C19" s="1"/>
      <c r="D19" s="1"/>
      <c r="E19" s="43" t="s">
        <v>64</v>
      </c>
      <c r="F19" s="12">
        <f>SUM('Applegate 410:Cadwallader 430'!F18)</f>
        <v>0</v>
      </c>
      <c r="G19" s="13">
        <f>SUM('Applegate 410:Cadwallader 430'!G18)</f>
        <v>0</v>
      </c>
      <c r="H19" s="62"/>
      <c r="I19" s="47">
        <f>SUM('Applegate 410:Cadwallader 430'!I19)</f>
        <v>0</v>
      </c>
      <c r="J19" s="47">
        <f>SUM('Applegate 410:Cadwallader 430'!J18)</f>
        <v>0</v>
      </c>
      <c r="K19" s="13">
        <f>SUM('Applegate 410:Cadwallader 430'!K18)</f>
        <v>0</v>
      </c>
      <c r="L19" s="13">
        <f>SUM('Applegate 410:Cadwallader 430'!L18)</f>
        <v>0</v>
      </c>
    </row>
    <row r="20" spans="1:12" x14ac:dyDescent="0.2">
      <c r="A20" s="1"/>
      <c r="B20" s="1"/>
      <c r="C20" s="1"/>
      <c r="D20" s="1"/>
      <c r="E20" s="43" t="s">
        <v>65</v>
      </c>
      <c r="F20" s="12">
        <f>SUM('Applegate 410:Cadwallader 430'!F19)</f>
        <v>0</v>
      </c>
      <c r="G20" s="13">
        <f>SUM('Applegate 410:Cadwallader 430'!G19)</f>
        <v>0</v>
      </c>
      <c r="H20" s="62"/>
      <c r="I20" s="47">
        <f>SUM('Applegate 410:Cadwallader 430'!I20)</f>
        <v>0</v>
      </c>
      <c r="J20" s="47">
        <f>SUM('Applegate 410:Cadwallader 430'!J19)</f>
        <v>0</v>
      </c>
      <c r="K20" s="13">
        <f>SUM('Applegate 410:Cadwallader 430'!K19)</f>
        <v>0</v>
      </c>
      <c r="L20" s="13">
        <f>SUM('Applegate 410:Cadwallader 430'!L19)</f>
        <v>0</v>
      </c>
    </row>
    <row r="21" spans="1:12" x14ac:dyDescent="0.2">
      <c r="A21" s="1"/>
      <c r="B21" s="1"/>
      <c r="C21" s="1"/>
      <c r="D21" s="1"/>
      <c r="E21" s="43" t="s">
        <v>66</v>
      </c>
      <c r="F21" s="12">
        <f>SUM('Applegate 410:Cadwallader 430'!F20)</f>
        <v>0</v>
      </c>
      <c r="G21" s="13">
        <f>SUM('Applegate 410:Cadwallader 430'!G20)</f>
        <v>0</v>
      </c>
      <c r="H21" s="62"/>
      <c r="I21" s="47">
        <f>SUM('Applegate 410:Cadwallader 430'!I21)</f>
        <v>0</v>
      </c>
      <c r="J21" s="47">
        <f>SUM('Applegate 410:Cadwallader 430'!J20)</f>
        <v>0</v>
      </c>
      <c r="K21" s="13">
        <f>SUM('Applegate 410:Cadwallader 430'!K20)</f>
        <v>0</v>
      </c>
      <c r="L21" s="13">
        <f>SUM('Applegate 410:Cadwallader 430'!L20)</f>
        <v>0</v>
      </c>
    </row>
    <row r="22" spans="1:12" x14ac:dyDescent="0.2">
      <c r="A22" s="1"/>
      <c r="B22" s="1"/>
      <c r="C22" s="1"/>
      <c r="D22" s="1"/>
      <c r="E22" s="43" t="s">
        <v>67</v>
      </c>
      <c r="F22" s="12">
        <f>SUM('Applegate 410:Cadwallader 430'!F21)</f>
        <v>0</v>
      </c>
      <c r="G22" s="13">
        <f>SUM('Applegate 410:Cadwallader 430'!G21)</f>
        <v>0</v>
      </c>
      <c r="H22" s="62"/>
      <c r="I22" s="47">
        <f>SUM('Applegate 410:Cadwallader 430'!I22)</f>
        <v>0</v>
      </c>
      <c r="J22" s="47">
        <f>SUM('Applegate 410:Cadwallader 430'!J21)</f>
        <v>0</v>
      </c>
      <c r="K22" s="13">
        <f>SUM('Applegate 410:Cadwallader 430'!K21)</f>
        <v>0</v>
      </c>
      <c r="L22" s="13">
        <f>SUM('Applegate 410:Cadwallader 430'!L21)</f>
        <v>0</v>
      </c>
    </row>
    <row r="23" spans="1:12" x14ac:dyDescent="0.2">
      <c r="A23" s="1"/>
      <c r="B23" s="1"/>
      <c r="C23" s="1"/>
      <c r="D23" s="1"/>
      <c r="E23" s="43" t="s">
        <v>68</v>
      </c>
      <c r="F23" s="12">
        <f>SUM('Applegate 410:Cadwallader 430'!F22)</f>
        <v>0</v>
      </c>
      <c r="G23" s="13">
        <f>SUM('Applegate 410:Cadwallader 430'!G22)</f>
        <v>0</v>
      </c>
      <c r="H23" s="62"/>
      <c r="I23" s="47">
        <f>SUM('Applegate 410:Cadwallader 430'!I23)</f>
        <v>570</v>
      </c>
      <c r="J23" s="47">
        <f>SUM('Applegate 410:Cadwallader 430'!J22)</f>
        <v>0</v>
      </c>
      <c r="K23" s="13">
        <f>SUM('Applegate 410:Cadwallader 430'!K22)</f>
        <v>0</v>
      </c>
      <c r="L23" s="13">
        <f>SUM('Applegate 410:Cadwallader 430'!L22)</f>
        <v>0</v>
      </c>
    </row>
    <row r="24" spans="1:12" ht="16" thickBot="1" x14ac:dyDescent="0.25">
      <c r="A24" s="1"/>
      <c r="B24" s="1"/>
      <c r="C24" s="1"/>
      <c r="D24" s="1"/>
      <c r="E24" s="43" t="s">
        <v>14</v>
      </c>
      <c r="F24" s="12">
        <f>SUM('Applegate 410:Cadwallader 430'!F23)</f>
        <v>0</v>
      </c>
      <c r="G24" s="13">
        <f>SUM('Applegate 410:Cadwallader 430'!G23)</f>
        <v>0</v>
      </c>
      <c r="H24" s="62"/>
      <c r="I24" s="94">
        <f>SUM('Applegate 410:Cadwallader 430'!I24)</f>
        <v>0</v>
      </c>
      <c r="J24" s="47">
        <f>SUM('Applegate 410:Cadwallader 430'!J23)</f>
        <v>0</v>
      </c>
      <c r="K24" s="13">
        <f>SUM('Applegate 410:Cadwallader 430'!K23)</f>
        <v>0</v>
      </c>
      <c r="L24" s="13">
        <f>SUM('Applegate 410:Cadwallader 430'!L23)</f>
        <v>0</v>
      </c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0</v>
      </c>
      <c r="G25" s="8">
        <f>SUM(G16:G24)</f>
        <v>0</v>
      </c>
      <c r="H25" s="62"/>
      <c r="I25" s="13">
        <f>SUM(I16:I24)</f>
        <v>570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28311</v>
      </c>
      <c r="G26" s="10">
        <f t="shared" si="0"/>
        <v>0</v>
      </c>
      <c r="H26" s="70"/>
      <c r="I26" s="10">
        <f t="shared" ref="I26" si="1">I14-I25</f>
        <v>-570</v>
      </c>
      <c r="J26" s="50">
        <f t="shared" ref="J26:K26" si="2">J14-J25</f>
        <v>0</v>
      </c>
      <c r="K26" s="10">
        <f t="shared" si="2"/>
        <v>0</v>
      </c>
      <c r="L26" s="10">
        <f t="shared" ref="L26" si="3">L14-L25</f>
        <v>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7"/>
      <c r="K27" s="13"/>
      <c r="L27" s="13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7"/>
      <c r="K28" s="13"/>
      <c r="L28" s="13"/>
    </row>
    <row r="29" spans="1:12" x14ac:dyDescent="0.2">
      <c r="A29" s="1"/>
      <c r="B29" s="1"/>
      <c r="C29" s="1"/>
      <c r="D29" s="41"/>
      <c r="E29" s="43" t="s">
        <v>69</v>
      </c>
      <c r="F29" s="12">
        <f>SUM('Applegate 410:Cadwallader 430'!F29)</f>
        <v>0</v>
      </c>
      <c r="G29" s="12">
        <f>SUM('Applegate 410:Cadwallader 430'!G29)</f>
        <v>0</v>
      </c>
      <c r="H29" s="62"/>
      <c r="I29" s="47">
        <f>SUM('Applegate 410:Cadwallader 430'!I29)</f>
        <v>0</v>
      </c>
      <c r="J29" s="47">
        <f>SUM('Applegate 410:Cadwallader 430'!J29)</f>
        <v>0</v>
      </c>
      <c r="K29" s="47">
        <f>SUM('Applegate 410:Cadwallader 430'!K29)</f>
        <v>0</v>
      </c>
      <c r="L29" s="47">
        <f>SUM('Applegate 410:Cadwallader 430'!L29)</f>
        <v>0</v>
      </c>
    </row>
    <row r="30" spans="1:12" x14ac:dyDescent="0.2">
      <c r="A30" s="1"/>
      <c r="B30" s="1"/>
      <c r="C30" s="1"/>
      <c r="D30" s="44"/>
      <c r="E30" s="63" t="s">
        <v>16</v>
      </c>
      <c r="F30" s="12">
        <f>SUM('Applegate 410:Cadwallader 430'!F30)</f>
        <v>0</v>
      </c>
      <c r="G30" s="12">
        <f>SUM('Applegate 410:Cadwallader 430'!G30)</f>
        <v>0</v>
      </c>
      <c r="H30" s="62"/>
      <c r="I30" s="47">
        <f>SUM('Applegate 410:Cadwallader 430'!I30)</f>
        <v>0</v>
      </c>
      <c r="J30" s="47">
        <f>SUM('Applegate 410:Cadwallader 430'!J30)</f>
        <v>0</v>
      </c>
      <c r="K30" s="47">
        <f>SUM('Applegate 410:Cadwallader 430'!K30)</f>
        <v>0</v>
      </c>
      <c r="L30" s="47">
        <f>SUM('Applegate 410:Cadwallader 430'!L30)</f>
        <v>0</v>
      </c>
    </row>
    <row r="31" spans="1:12" ht="16" thickBot="1" x14ac:dyDescent="0.25">
      <c r="A31" s="1"/>
      <c r="B31" s="1"/>
      <c r="C31" s="1"/>
      <c r="D31" s="41"/>
      <c r="E31" s="43" t="s">
        <v>70</v>
      </c>
      <c r="F31" s="95">
        <f>SUM('Applegate 410:Cadwallader 430'!F31)</f>
        <v>0</v>
      </c>
      <c r="G31" s="27">
        <f>SUM('Applegate 410:Cadwallader 430'!G31)</f>
        <v>0</v>
      </c>
      <c r="H31" s="62"/>
      <c r="I31" s="94">
        <f>SUM('Applegate 410:Cadwallader 430'!I31)</f>
        <v>-37553</v>
      </c>
      <c r="J31" s="94">
        <f>SUM('Applegate 410:Cadwallader 430'!J31)</f>
        <v>13463</v>
      </c>
      <c r="K31" s="94">
        <f>SUM('Applegate 410:Cadwallader 430'!K31)</f>
        <v>0</v>
      </c>
      <c r="L31" s="27">
        <f>SUM('Applegate 410:Cadwallader 430'!L30)</f>
        <v>0</v>
      </c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-37553</v>
      </c>
      <c r="J32" s="47">
        <f t="shared" ref="J32:K32" si="5">SUM(J28:J31)</f>
        <v>13463</v>
      </c>
      <c r="K32" s="13">
        <f t="shared" si="5"/>
        <v>0</v>
      </c>
      <c r="L32" s="13">
        <f t="shared" ref="L32" si="6">SUM(L28:L31)</f>
        <v>0</v>
      </c>
    </row>
    <row r="33" spans="1:14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4" ht="16" thickBot="1" x14ac:dyDescent="0.25">
      <c r="A34" s="1"/>
      <c r="B34" s="1"/>
      <c r="C34" s="1"/>
      <c r="D34" s="41" t="s">
        <v>71</v>
      </c>
      <c r="E34" s="31"/>
      <c r="F34" s="12">
        <f>SUM('Applegate 410:Cadwallader 430'!F34)</f>
        <v>0</v>
      </c>
      <c r="G34" s="13">
        <f>SUM('Applegate 410:Cadwallader 430'!G34)</f>
        <v>0</v>
      </c>
      <c r="I34" s="47">
        <f>SUM('Applegate 410:Cadwallader 430'!I34)</f>
        <v>0</v>
      </c>
      <c r="J34" s="47">
        <f>SUM('Applegate 410:Cadwallader 430'!J34)</f>
        <v>0</v>
      </c>
      <c r="K34" s="47">
        <f>SUM('Applegate 410:Cadwallader 430'!K34)</f>
        <v>0</v>
      </c>
      <c r="L34" s="47">
        <f>SUM('Applegate 410:Cadwallader 430'!L34)</f>
        <v>0</v>
      </c>
    </row>
    <row r="35" spans="1:14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4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-37553</v>
      </c>
      <c r="J36" s="51">
        <f t="shared" ref="J36:K36" si="13">J32-J35</f>
        <v>13463</v>
      </c>
      <c r="K36" s="14">
        <f t="shared" si="13"/>
        <v>0</v>
      </c>
      <c r="L36" s="14">
        <f t="shared" ref="L36" si="14">L32-L35</f>
        <v>0</v>
      </c>
    </row>
    <row r="37" spans="1:14" s="4" customFormat="1" ht="33.75" customHeight="1" thickBot="1" x14ac:dyDescent="0.25">
      <c r="A37" s="42" t="s">
        <v>3</v>
      </c>
      <c r="B37" s="1"/>
      <c r="C37" s="1"/>
      <c r="D37" s="1"/>
      <c r="E37" s="31"/>
      <c r="F37" s="15">
        <f t="shared" ref="F37:G37" si="15">F36+F26</f>
        <v>28311</v>
      </c>
      <c r="G37" s="16">
        <f t="shared" si="15"/>
        <v>0</v>
      </c>
      <c r="H37" s="2"/>
      <c r="I37" s="52">
        <f t="shared" ref="I37" si="16">I36+I26</f>
        <v>-38123</v>
      </c>
      <c r="J37" s="52">
        <f t="shared" ref="J37:K37" si="17">J36+J26</f>
        <v>13463</v>
      </c>
      <c r="K37" s="16">
        <f t="shared" si="17"/>
        <v>0</v>
      </c>
      <c r="L37" s="16">
        <f t="shared" ref="L37" si="18">L36+L26</f>
        <v>0</v>
      </c>
      <c r="M37" s="2"/>
      <c r="N37" s="2"/>
    </row>
    <row r="38" spans="1:14" ht="17" thickTop="1" thickBot="1" x14ac:dyDescent="0.25">
      <c r="E38" s="33"/>
      <c r="F38" s="29"/>
      <c r="G38" s="30"/>
      <c r="I38" s="53"/>
      <c r="J38" s="53"/>
      <c r="K38" s="30"/>
      <c r="L38" s="30"/>
    </row>
    <row r="39" spans="1:14" ht="16" thickTop="1" x14ac:dyDescent="0.2"/>
    <row r="40" spans="1:14" x14ac:dyDescent="0.2">
      <c r="H40" s="118" t="s">
        <v>111</v>
      </c>
      <c r="I40" s="120">
        <f>I4+I37</f>
        <v>583819</v>
      </c>
      <c r="J40" s="120">
        <f>J4+J37</f>
        <v>597282</v>
      </c>
      <c r="K40" s="120">
        <f>K4+K37</f>
        <v>597282</v>
      </c>
      <c r="L40" s="120">
        <f>L4+L37</f>
        <v>597282</v>
      </c>
    </row>
  </sheetData>
  <pageMargins left="0.25" right="0.25" top="0.75" bottom="0.75" header="0.3" footer="0.3"/>
  <pageSetup scale="6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AK42"/>
  <sheetViews>
    <sheetView tabSelected="1" view="pageBreakPreview" zoomScale="125" zoomScaleNormal="125" zoomScaleSheetLayoutView="69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G4" sqref="AG4:AK38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66406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0" width="16.33203125" style="19" customWidth="1"/>
    <col min="11" max="12" width="16.33203125" style="2" customWidth="1"/>
    <col min="13" max="13" width="4.1640625" style="2" customWidth="1"/>
    <col min="14" max="14" width="3.83203125" style="2" customWidth="1"/>
    <col min="15" max="19" width="16.33203125" style="2" customWidth="1"/>
    <col min="20" max="20" width="8.83203125" style="2" customWidth="1"/>
    <col min="21" max="25" width="16.33203125" style="2" customWidth="1"/>
    <col min="26" max="26" width="6.1640625" style="2" customWidth="1"/>
    <col min="27" max="29" width="16.33203125" style="2" customWidth="1"/>
    <col min="30" max="30" width="16.5" style="2" customWidth="1"/>
    <col min="31" max="31" width="16.33203125" style="2" customWidth="1"/>
    <col min="32" max="32" width="8.83203125" style="2"/>
    <col min="33" max="37" width="16.33203125" style="2" customWidth="1"/>
    <col min="38" max="16384" width="8.83203125" style="2"/>
  </cols>
  <sheetData>
    <row r="1" spans="1:37" ht="16" x14ac:dyDescent="0.2">
      <c r="A1" s="17" t="s">
        <v>15</v>
      </c>
      <c r="B1" s="1"/>
      <c r="C1" s="1"/>
      <c r="D1" s="1"/>
      <c r="E1" s="1"/>
      <c r="H1" s="115" t="s">
        <v>193</v>
      </c>
      <c r="I1" s="40"/>
    </row>
    <row r="2" spans="1:37" ht="16" customHeight="1" x14ac:dyDescent="0.2">
      <c r="A2" s="20"/>
      <c r="B2" s="1"/>
      <c r="C2" s="1"/>
      <c r="D2" s="1"/>
      <c r="E2" s="1"/>
      <c r="I2" s="19"/>
    </row>
    <row r="3" spans="1:37" ht="18" customHeight="1" x14ac:dyDescent="0.25">
      <c r="A3" s="1"/>
      <c r="B3" s="1"/>
      <c r="C3" s="1"/>
      <c r="D3" s="1"/>
      <c r="E3" s="76" t="s">
        <v>27</v>
      </c>
      <c r="F3" s="21"/>
      <c r="G3" s="21"/>
      <c r="H3" s="59"/>
      <c r="I3" s="306" t="s">
        <v>74</v>
      </c>
      <c r="J3" s="307" t="s">
        <v>75</v>
      </c>
      <c r="K3" s="307" t="s">
        <v>91</v>
      </c>
      <c r="L3" s="307" t="s">
        <v>93</v>
      </c>
      <c r="M3" s="59"/>
    </row>
    <row r="4" spans="1:37" ht="18" customHeight="1" x14ac:dyDescent="0.2">
      <c r="A4" s="1"/>
      <c r="B4" s="1"/>
      <c r="C4" s="1"/>
      <c r="D4" s="1"/>
      <c r="E4" s="76"/>
      <c r="F4" s="21"/>
      <c r="G4" s="21"/>
      <c r="H4" s="118" t="s">
        <v>112</v>
      </c>
      <c r="I4" s="250">
        <f>'TOTAL UNRESTRICTED'!I4+'TOTAL Temp Resticted'!I4+'Total Perm Restricted'!I4</f>
        <v>1847501</v>
      </c>
      <c r="J4" s="122">
        <f>I40-2147</f>
        <v>1701576</v>
      </c>
      <c r="K4" s="122">
        <f>J40</f>
        <v>1696999.87</v>
      </c>
      <c r="L4" s="21">
        <f>K40</f>
        <v>1632923.0140000002</v>
      </c>
      <c r="M4" s="59"/>
      <c r="O4" s="21"/>
      <c r="P4" s="21"/>
      <c r="Q4" s="111" t="s">
        <v>189</v>
      </c>
      <c r="R4" s="75"/>
      <c r="S4" s="21"/>
      <c r="U4" s="21"/>
      <c r="V4" s="21"/>
      <c r="W4" s="111" t="s">
        <v>188</v>
      </c>
      <c r="X4" s="75"/>
      <c r="Y4" s="21"/>
      <c r="AA4" s="21"/>
      <c r="AB4" s="21"/>
      <c r="AC4" s="110" t="s">
        <v>190</v>
      </c>
      <c r="AD4" s="75"/>
      <c r="AE4" s="21"/>
      <c r="AG4" s="21"/>
      <c r="AH4" s="21"/>
      <c r="AI4" s="111" t="s">
        <v>191</v>
      </c>
      <c r="AJ4" s="75"/>
      <c r="AK4" s="21"/>
    </row>
    <row r="5" spans="1:37" ht="16" customHeight="1" thickBot="1" x14ac:dyDescent="0.25">
      <c r="A5" s="1"/>
      <c r="B5" s="1"/>
      <c r="C5" s="1"/>
      <c r="D5" s="1"/>
      <c r="E5" s="76"/>
      <c r="F5" s="60"/>
      <c r="G5" s="60"/>
      <c r="H5" s="59"/>
      <c r="I5" s="73"/>
      <c r="J5" s="60"/>
      <c r="K5" s="60"/>
      <c r="L5" s="60"/>
      <c r="M5" s="59"/>
      <c r="O5" s="21"/>
      <c r="P5" s="21"/>
      <c r="Q5" s="21"/>
      <c r="R5" s="21"/>
      <c r="S5" s="21"/>
      <c r="U5" s="21"/>
      <c r="V5" s="21"/>
      <c r="W5" s="21"/>
      <c r="X5" s="21"/>
      <c r="Y5" s="21"/>
      <c r="AA5" s="21"/>
      <c r="AB5" s="21"/>
      <c r="AC5" s="21"/>
      <c r="AD5" s="21"/>
      <c r="AE5" s="21"/>
      <c r="AG5" s="21"/>
      <c r="AH5" s="21"/>
      <c r="AI5" s="21"/>
      <c r="AJ5" s="21"/>
      <c r="AK5" s="21"/>
    </row>
    <row r="6" spans="1:37" s="24" customFormat="1" ht="51" customHeight="1" thickTop="1" thickBot="1" x14ac:dyDescent="0.25">
      <c r="A6" s="22"/>
      <c r="B6" s="22"/>
      <c r="C6" s="22"/>
      <c r="D6" s="72"/>
      <c r="E6" s="32"/>
      <c r="F6" s="246" t="s">
        <v>19</v>
      </c>
      <c r="G6" s="201" t="s">
        <v>20</v>
      </c>
      <c r="I6" s="178" t="s">
        <v>26</v>
      </c>
      <c r="J6" s="201" t="s">
        <v>187</v>
      </c>
      <c r="K6" s="202" t="s">
        <v>17</v>
      </c>
      <c r="L6" s="211" t="s">
        <v>18</v>
      </c>
      <c r="O6" s="178" t="s">
        <v>21</v>
      </c>
      <c r="P6" s="178" t="s">
        <v>24</v>
      </c>
      <c r="Q6" s="178" t="s">
        <v>22</v>
      </c>
      <c r="R6" s="178" t="s">
        <v>23</v>
      </c>
      <c r="S6" s="178" t="s">
        <v>25</v>
      </c>
      <c r="U6" s="156" t="s">
        <v>21</v>
      </c>
      <c r="V6" s="156" t="s">
        <v>24</v>
      </c>
      <c r="W6" s="156" t="s">
        <v>22</v>
      </c>
      <c r="X6" s="156" t="s">
        <v>23</v>
      </c>
      <c r="Y6" s="156" t="s">
        <v>25</v>
      </c>
      <c r="AA6" s="220" t="s">
        <v>21</v>
      </c>
      <c r="AB6" s="220" t="s">
        <v>24</v>
      </c>
      <c r="AC6" s="220" t="s">
        <v>22</v>
      </c>
      <c r="AD6" s="220" t="s">
        <v>23</v>
      </c>
      <c r="AE6" s="220" t="s">
        <v>25</v>
      </c>
      <c r="AG6" s="230" t="s">
        <v>21</v>
      </c>
      <c r="AH6" s="230" t="s">
        <v>24</v>
      </c>
      <c r="AI6" s="230" t="s">
        <v>22</v>
      </c>
      <c r="AJ6" s="230" t="s">
        <v>23</v>
      </c>
      <c r="AK6" s="230" t="s">
        <v>25</v>
      </c>
    </row>
    <row r="7" spans="1:37" ht="16" thickTop="1" x14ac:dyDescent="0.2">
      <c r="A7" s="1"/>
      <c r="B7" s="1" t="s">
        <v>0</v>
      </c>
      <c r="C7" s="1"/>
      <c r="D7" s="1"/>
      <c r="E7" s="31"/>
      <c r="F7" s="179"/>
      <c r="G7" s="158"/>
      <c r="H7" s="62"/>
      <c r="I7" s="180"/>
      <c r="J7" s="159"/>
      <c r="K7" s="203"/>
      <c r="L7" s="212"/>
      <c r="O7" s="179"/>
      <c r="P7" s="180"/>
      <c r="Q7" s="180"/>
      <c r="R7" s="180"/>
      <c r="S7" s="180"/>
      <c r="U7" s="157"/>
      <c r="V7" s="158"/>
      <c r="W7" s="158"/>
      <c r="X7" s="158"/>
      <c r="Y7" s="158"/>
      <c r="AA7" s="221"/>
      <c r="AB7" s="203"/>
      <c r="AC7" s="203"/>
      <c r="AD7" s="203"/>
      <c r="AE7" s="203"/>
      <c r="AG7" s="231"/>
      <c r="AH7" s="212"/>
      <c r="AI7" s="212"/>
      <c r="AJ7" s="212"/>
      <c r="AK7" s="212"/>
    </row>
    <row r="8" spans="1:37" x14ac:dyDescent="0.2">
      <c r="A8" s="1"/>
      <c r="B8" s="1"/>
      <c r="C8" s="1"/>
      <c r="D8" s="42" t="s">
        <v>1</v>
      </c>
      <c r="E8" s="31"/>
      <c r="F8" s="181"/>
      <c r="G8" s="158"/>
      <c r="H8" s="62"/>
      <c r="I8" s="180"/>
      <c r="J8" s="159"/>
      <c r="K8" s="203"/>
      <c r="L8" s="212"/>
      <c r="O8" s="181"/>
      <c r="P8" s="180"/>
      <c r="Q8" s="180"/>
      <c r="R8" s="180"/>
      <c r="S8" s="180"/>
      <c r="U8" s="159"/>
      <c r="V8" s="158"/>
      <c r="W8" s="158"/>
      <c r="X8" s="158"/>
      <c r="Y8" s="158"/>
      <c r="AA8" s="222"/>
      <c r="AB8" s="203"/>
      <c r="AC8" s="203"/>
      <c r="AD8" s="203"/>
      <c r="AE8" s="203"/>
      <c r="AG8" s="232"/>
      <c r="AH8" s="212"/>
      <c r="AI8" s="212"/>
      <c r="AJ8" s="212"/>
      <c r="AK8" s="212"/>
    </row>
    <row r="9" spans="1:37" x14ac:dyDescent="0.2">
      <c r="A9" s="1"/>
      <c r="B9" s="1"/>
      <c r="C9" s="1"/>
      <c r="D9" s="1"/>
      <c r="E9" s="128" t="s">
        <v>57</v>
      </c>
      <c r="F9" s="182">
        <f>'Total Perm Restricted'!F9+'TOTAL Temp Resticted'!F9+'TOTAL UNRESTRICTED'!F9</f>
        <v>213500</v>
      </c>
      <c r="G9" s="161">
        <f>'Total Perm Restricted'!G9+'TOTAL Temp Resticted'!G9+'TOTAL UNRESTRICTED'!G9</f>
        <v>226000</v>
      </c>
      <c r="H9" s="62"/>
      <c r="I9" s="182">
        <f>'Total Perm Restricted'!I9+'TOTAL Temp Resticted'!I9+'TOTAL UNRESTRICTED'!I9</f>
        <v>223288</v>
      </c>
      <c r="J9" s="160">
        <f>'Total Perm Restricted'!J9+'TOTAL Temp Resticted'!J9+'TOTAL UNRESTRICTED'!J9</f>
        <v>181583</v>
      </c>
      <c r="K9" s="204">
        <f>'Total Perm Restricted'!K9+'TOTAL Temp Resticted'!K9+'TOTAL UNRESTRICTED'!K9</f>
        <v>213500</v>
      </c>
      <c r="L9" s="213">
        <f>'Total Perm Restricted'!L9+'TOTAL Temp Resticted'!L9+'TOTAL UNRESTRICTED'!L9</f>
        <v>230500</v>
      </c>
      <c r="O9" s="182">
        <f>+'TOTAL UNRESTRICTED'!I9-'subtotal Board Designated'!I9</f>
        <v>200541</v>
      </c>
      <c r="P9" s="183">
        <f>+'subtotal Board Designated'!I9</f>
        <v>22727</v>
      </c>
      <c r="Q9" s="183">
        <f>+'TOTAL Temp Resticted'!I9</f>
        <v>20</v>
      </c>
      <c r="R9" s="183">
        <f>+'Total Perm Restricted'!I9</f>
        <v>0</v>
      </c>
      <c r="S9" s="183">
        <f>SUM(O9:R9)</f>
        <v>223288</v>
      </c>
      <c r="U9" s="160">
        <f>+'TOTAL UNRESTRICTED'!J9-'subtotal Board Designated'!J9</f>
        <v>181083</v>
      </c>
      <c r="V9" s="161">
        <f>+'subtotal Board Designated'!J9</f>
        <v>500</v>
      </c>
      <c r="W9" s="161">
        <f>+'TOTAL Temp Resticted'!J9</f>
        <v>0</v>
      </c>
      <c r="X9" s="161">
        <f>+'Total Perm Restricted'!J9</f>
        <v>0</v>
      </c>
      <c r="Y9" s="161">
        <f>SUM(U9:X9)</f>
        <v>181583</v>
      </c>
      <c r="AA9" s="223">
        <f>+'TOTAL UNRESTRICTED'!K9-'subtotal Board Designated'!K9</f>
        <v>213500</v>
      </c>
      <c r="AB9" s="204">
        <f>+'subtotal Board Designated'!K9</f>
        <v>0</v>
      </c>
      <c r="AC9" s="204">
        <f>+'TOTAL Temp Resticted'!K9</f>
        <v>0</v>
      </c>
      <c r="AD9" s="204">
        <f>+'Total Perm Restricted'!K9</f>
        <v>0</v>
      </c>
      <c r="AE9" s="204">
        <f>SUM(AA9:AD9)</f>
        <v>213500</v>
      </c>
      <c r="AG9" s="233">
        <f>+'TOTAL UNRESTRICTED'!L9-'subtotal Board Designated'!L9</f>
        <v>230500</v>
      </c>
      <c r="AH9" s="213">
        <f>+'subtotal Board Designated'!L9</f>
        <v>0</v>
      </c>
      <c r="AI9" s="213">
        <f>+'TOTAL Temp Resticted'!L9</f>
        <v>0</v>
      </c>
      <c r="AJ9" s="213">
        <f>+'Total Perm Restricted'!L9</f>
        <v>0</v>
      </c>
      <c r="AK9" s="213">
        <f>SUM(AG9:AJ9)</f>
        <v>230500</v>
      </c>
    </row>
    <row r="10" spans="1:37" x14ac:dyDescent="0.2">
      <c r="A10" s="1"/>
      <c r="B10" s="1"/>
      <c r="C10" s="1"/>
      <c r="D10" s="1"/>
      <c r="E10" s="128" t="s">
        <v>56</v>
      </c>
      <c r="F10" s="182">
        <f>'Total Perm Restricted'!F10+'TOTAL Temp Resticted'!F10+'TOTAL UNRESTRICTED'!F10</f>
        <v>0</v>
      </c>
      <c r="G10" s="161">
        <f>'Total Perm Restricted'!G10+'TOTAL Temp Resticted'!G10+'TOTAL UNRESTRICTED'!G10</f>
        <v>45000</v>
      </c>
      <c r="H10" s="62"/>
      <c r="I10" s="182">
        <f>'Total Perm Restricted'!I10+'TOTAL Temp Resticted'!I10+'TOTAL UNRESTRICTED'!I10</f>
        <v>0</v>
      </c>
      <c r="J10" s="160">
        <f>'Total Perm Restricted'!J10+'TOTAL Temp Resticted'!J10+'TOTAL UNRESTRICTED'!J10</f>
        <v>0</v>
      </c>
      <c r="K10" s="204">
        <f>'Total Perm Restricted'!K10+'TOTAL Temp Resticted'!K10+'TOTAL UNRESTRICTED'!K10</f>
        <v>0</v>
      </c>
      <c r="L10" s="213">
        <f>'Total Perm Restricted'!L10+'TOTAL Temp Resticted'!L10+'TOTAL UNRESTRICTED'!L10</f>
        <v>45000</v>
      </c>
      <c r="O10" s="182">
        <f>+'TOTAL UNRESTRICTED'!I10-'subtotal Board Designated'!I10</f>
        <v>0</v>
      </c>
      <c r="P10" s="183">
        <f>+'subtotal Board Designated'!I10</f>
        <v>0</v>
      </c>
      <c r="Q10" s="183">
        <f>+'TOTAL Temp Resticted'!I10</f>
        <v>0</v>
      </c>
      <c r="R10" s="183">
        <f>+'Total Perm Restricted'!I10</f>
        <v>0</v>
      </c>
      <c r="S10" s="183">
        <f t="shared" ref="S10:S13" si="0">SUM(O10:R10)</f>
        <v>0</v>
      </c>
      <c r="U10" s="160">
        <f>+'TOTAL UNRESTRICTED'!J10-'subtotal Board Designated'!J10</f>
        <v>0</v>
      </c>
      <c r="V10" s="161">
        <f>+'subtotal Board Designated'!J10</f>
        <v>0</v>
      </c>
      <c r="W10" s="161">
        <f>+'TOTAL Temp Resticted'!J10</f>
        <v>0</v>
      </c>
      <c r="X10" s="161">
        <f>+'Total Perm Restricted'!J10</f>
        <v>0</v>
      </c>
      <c r="Y10" s="161">
        <f t="shared" ref="Y10:Y13" si="1">SUM(U10:X10)</f>
        <v>0</v>
      </c>
      <c r="AA10" s="223">
        <f>+'TOTAL UNRESTRICTED'!K10-'subtotal Board Designated'!K10</f>
        <v>0</v>
      </c>
      <c r="AB10" s="204">
        <f>+'subtotal Board Designated'!K10</f>
        <v>0</v>
      </c>
      <c r="AC10" s="204">
        <f>+'TOTAL Temp Resticted'!K10</f>
        <v>0</v>
      </c>
      <c r="AD10" s="204">
        <f>+'Total Perm Restricted'!K10</f>
        <v>0</v>
      </c>
      <c r="AE10" s="204">
        <f t="shared" ref="AE10:AE13" si="2">SUM(AA10:AD10)</f>
        <v>0</v>
      </c>
      <c r="AG10" s="233">
        <f>+'TOTAL UNRESTRICTED'!L10-'subtotal Board Designated'!L10</f>
        <v>45000</v>
      </c>
      <c r="AH10" s="213">
        <f>+'subtotal Board Designated'!L10</f>
        <v>0</v>
      </c>
      <c r="AI10" s="213">
        <f>+'TOTAL Temp Resticted'!L10</f>
        <v>0</v>
      </c>
      <c r="AJ10" s="213">
        <f>+'Total Perm Restricted'!L10</f>
        <v>0</v>
      </c>
      <c r="AK10" s="213">
        <f t="shared" ref="AK10:AK13" si="3">SUM(AG10:AJ10)</f>
        <v>45000</v>
      </c>
    </row>
    <row r="11" spans="1:37" x14ac:dyDescent="0.2">
      <c r="A11" s="1"/>
      <c r="B11" s="1"/>
      <c r="C11" s="1"/>
      <c r="D11" s="1"/>
      <c r="E11" s="43" t="s">
        <v>58</v>
      </c>
      <c r="F11" s="182">
        <f>'Total Perm Restricted'!F11+'TOTAL Temp Resticted'!F11+'TOTAL UNRESTRICTED'!F11</f>
        <v>5000</v>
      </c>
      <c r="G11" s="161">
        <f>'Total Perm Restricted'!G11+'TOTAL Temp Resticted'!G11+'TOTAL UNRESTRICTED'!G11</f>
        <v>7000</v>
      </c>
      <c r="H11" s="62"/>
      <c r="I11" s="182">
        <f>'Total Perm Restricted'!I11+'TOTAL Temp Resticted'!I11+'TOTAL UNRESTRICTED'!I11</f>
        <v>10114</v>
      </c>
      <c r="J11" s="160">
        <f>'Total Perm Restricted'!J11+'TOTAL Temp Resticted'!J11+'TOTAL UNRESTRICTED'!J11</f>
        <v>25662</v>
      </c>
      <c r="K11" s="204">
        <f>'Total Perm Restricted'!K11+'TOTAL Temp Resticted'!K11+'TOTAL UNRESTRICTED'!K11</f>
        <v>10000</v>
      </c>
      <c r="L11" s="213">
        <f>'Total Perm Restricted'!L11+'TOTAL Temp Resticted'!L11+'TOTAL UNRESTRICTED'!L11</f>
        <v>10000</v>
      </c>
      <c r="O11" s="182">
        <f>+'TOTAL UNRESTRICTED'!I11-'subtotal Board Designated'!I11</f>
        <v>10064</v>
      </c>
      <c r="P11" s="183">
        <f>+'subtotal Board Designated'!I11</f>
        <v>50</v>
      </c>
      <c r="Q11" s="183">
        <f>+'TOTAL Temp Resticted'!I11</f>
        <v>0</v>
      </c>
      <c r="R11" s="183">
        <f>+'Total Perm Restricted'!I11</f>
        <v>0</v>
      </c>
      <c r="S11" s="183">
        <f t="shared" si="0"/>
        <v>10114</v>
      </c>
      <c r="U11" s="160">
        <f>+'TOTAL UNRESTRICTED'!J11-'subtotal Board Designated'!J11</f>
        <v>25662</v>
      </c>
      <c r="V11" s="161">
        <f>+'subtotal Board Designated'!J11</f>
        <v>0</v>
      </c>
      <c r="W11" s="161">
        <f>+'TOTAL Temp Resticted'!J11</f>
        <v>0</v>
      </c>
      <c r="X11" s="161">
        <f>+'Total Perm Restricted'!J11</f>
        <v>0</v>
      </c>
      <c r="Y11" s="161">
        <f t="shared" si="1"/>
        <v>25662</v>
      </c>
      <c r="AA11" s="223">
        <f>+'TOTAL UNRESTRICTED'!K11-'subtotal Board Designated'!K11</f>
        <v>10000</v>
      </c>
      <c r="AB11" s="204">
        <f>+'subtotal Board Designated'!K11</f>
        <v>0</v>
      </c>
      <c r="AC11" s="204">
        <f>+'TOTAL Temp Resticted'!K11</f>
        <v>0</v>
      </c>
      <c r="AD11" s="204">
        <f>+'Total Perm Restricted'!K11</f>
        <v>0</v>
      </c>
      <c r="AE11" s="204">
        <f t="shared" si="2"/>
        <v>10000</v>
      </c>
      <c r="AG11" s="233">
        <f>+'TOTAL UNRESTRICTED'!L11-'subtotal Board Designated'!L11</f>
        <v>10000</v>
      </c>
      <c r="AH11" s="213">
        <f>+'subtotal Board Designated'!L11</f>
        <v>0</v>
      </c>
      <c r="AI11" s="213">
        <f>+'TOTAL Temp Resticted'!L11</f>
        <v>0</v>
      </c>
      <c r="AJ11" s="213">
        <f>+'Total Perm Restricted'!L11</f>
        <v>0</v>
      </c>
      <c r="AK11" s="213">
        <f t="shared" si="3"/>
        <v>10000</v>
      </c>
    </row>
    <row r="12" spans="1:37" x14ac:dyDescent="0.2">
      <c r="A12" s="1"/>
      <c r="B12" s="1"/>
      <c r="C12" s="1"/>
      <c r="D12" s="1"/>
      <c r="E12" s="43" t="s">
        <v>59</v>
      </c>
      <c r="F12" s="182">
        <f>'Total Perm Restricted'!F12+'TOTAL Temp Resticted'!F12+'TOTAL UNRESTRICTED'!F12</f>
        <v>500</v>
      </c>
      <c r="G12" s="161">
        <f>'Total Perm Restricted'!G12+'TOTAL Temp Resticted'!G12+'TOTAL UNRESTRICTED'!G12</f>
        <v>1000</v>
      </c>
      <c r="H12" s="62"/>
      <c r="I12" s="182">
        <f>'Total Perm Restricted'!I12+'TOTAL Temp Resticted'!I12+'TOTAL UNRESTRICTED'!I12</f>
        <v>14</v>
      </c>
      <c r="J12" s="160">
        <f>'Total Perm Restricted'!J12+'TOTAL Temp Resticted'!J12+'TOTAL UNRESTRICTED'!J12</f>
        <v>1319.03</v>
      </c>
      <c r="K12" s="204">
        <f>'Total Perm Restricted'!K12+'TOTAL Temp Resticted'!K12+'TOTAL UNRESTRICTED'!K12</f>
        <v>500</v>
      </c>
      <c r="L12" s="213">
        <f>'Total Perm Restricted'!L12+'TOTAL Temp Resticted'!L12+'TOTAL UNRESTRICTED'!L12</f>
        <v>500</v>
      </c>
      <c r="O12" s="182">
        <f>+'TOTAL UNRESTRICTED'!I12-'subtotal Board Designated'!I12</f>
        <v>14</v>
      </c>
      <c r="P12" s="183">
        <f>+'subtotal Board Designated'!I12</f>
        <v>0</v>
      </c>
      <c r="Q12" s="183">
        <f>+'TOTAL Temp Resticted'!I12</f>
        <v>0</v>
      </c>
      <c r="R12" s="183">
        <f>+'Total Perm Restricted'!I12</f>
        <v>0</v>
      </c>
      <c r="S12" s="183">
        <f t="shared" si="0"/>
        <v>14</v>
      </c>
      <c r="U12" s="160">
        <f>+'TOTAL UNRESTRICTED'!J12-'subtotal Board Designated'!J12</f>
        <v>1319.03</v>
      </c>
      <c r="V12" s="161">
        <f>+'subtotal Board Designated'!J12</f>
        <v>0</v>
      </c>
      <c r="W12" s="161">
        <f>+'TOTAL Temp Resticted'!J12</f>
        <v>0</v>
      </c>
      <c r="X12" s="161">
        <f>+'Total Perm Restricted'!J12</f>
        <v>0</v>
      </c>
      <c r="Y12" s="161">
        <f t="shared" si="1"/>
        <v>1319.03</v>
      </c>
      <c r="AA12" s="223">
        <f>+'TOTAL UNRESTRICTED'!K12-'subtotal Board Designated'!K12</f>
        <v>500</v>
      </c>
      <c r="AB12" s="204">
        <f>+'subtotal Board Designated'!K12</f>
        <v>0</v>
      </c>
      <c r="AC12" s="204">
        <f>+'TOTAL Temp Resticted'!K12</f>
        <v>0</v>
      </c>
      <c r="AD12" s="204">
        <f>+'Total Perm Restricted'!K12</f>
        <v>0</v>
      </c>
      <c r="AE12" s="204">
        <f t="shared" si="2"/>
        <v>500</v>
      </c>
      <c r="AG12" s="233">
        <f>+'TOTAL UNRESTRICTED'!L12-'subtotal Board Designated'!L12</f>
        <v>500</v>
      </c>
      <c r="AH12" s="213">
        <f>+'subtotal Board Designated'!L12</f>
        <v>0</v>
      </c>
      <c r="AI12" s="213">
        <f>+'TOTAL Temp Resticted'!L12</f>
        <v>0</v>
      </c>
      <c r="AJ12" s="213">
        <f>+'Total Perm Restricted'!L12</f>
        <v>0</v>
      </c>
      <c r="AK12" s="213">
        <f t="shared" si="3"/>
        <v>500</v>
      </c>
    </row>
    <row r="13" spans="1:37" ht="16" thickBot="1" x14ac:dyDescent="0.25">
      <c r="A13" s="1"/>
      <c r="B13" s="1"/>
      <c r="C13" s="1"/>
      <c r="D13" s="1"/>
      <c r="E13" s="43" t="s">
        <v>60</v>
      </c>
      <c r="F13" s="182">
        <f>'Total Perm Restricted'!F13+'TOTAL Temp Resticted'!F13+'TOTAL UNRESTRICTED'!F13</f>
        <v>61827</v>
      </c>
      <c r="G13" s="161">
        <f>'Total Perm Restricted'!G13+'TOTAL Temp Resticted'!G13+'TOTAL UNRESTRICTED'!G13</f>
        <v>53502</v>
      </c>
      <c r="H13" s="62"/>
      <c r="I13" s="182">
        <f>'Total Perm Restricted'!I13+'TOTAL Temp Resticted'!I13+'TOTAL UNRESTRICTED'!I13</f>
        <v>52445</v>
      </c>
      <c r="J13" s="160">
        <f>'Total Perm Restricted'!J13+'TOTAL Temp Resticted'!J13+'TOTAL UNRESTRICTED'!J13</f>
        <v>51283.54</v>
      </c>
      <c r="K13" s="204">
        <f>'Total Perm Restricted'!K13+'TOTAL Temp Resticted'!K13+'TOTAL UNRESTRICTED'!K13</f>
        <v>50062.079999999994</v>
      </c>
      <c r="L13" s="213">
        <f>'Total Perm Restricted'!L13+'TOTAL Temp Resticted'!L13+'TOTAL UNRESTRICTED'!L13</f>
        <v>50125</v>
      </c>
      <c r="O13" s="182">
        <f>+'TOTAL UNRESTRICTED'!I13-'subtotal Board Designated'!I13</f>
        <v>2370</v>
      </c>
      <c r="P13" s="183">
        <f>+'subtotal Board Designated'!I13</f>
        <v>11941</v>
      </c>
      <c r="Q13" s="183">
        <f>+'TOTAL Temp Resticted'!I13</f>
        <v>38134</v>
      </c>
      <c r="R13" s="183">
        <f>+'Total Perm Restricted'!I13</f>
        <v>0</v>
      </c>
      <c r="S13" s="183">
        <f t="shared" si="0"/>
        <v>52445</v>
      </c>
      <c r="U13" s="160">
        <f>+'TOTAL UNRESTRICTED'!J13-'subtotal Board Designated'!J13</f>
        <v>2403</v>
      </c>
      <c r="V13" s="161">
        <f>+'subtotal Board Designated'!J13</f>
        <v>11392</v>
      </c>
      <c r="W13" s="161">
        <f>+'TOTAL Temp Resticted'!J13</f>
        <v>37488.54</v>
      </c>
      <c r="X13" s="161">
        <f>+'Total Perm Restricted'!J13</f>
        <v>0</v>
      </c>
      <c r="Y13" s="161">
        <f t="shared" si="1"/>
        <v>51283.54</v>
      </c>
      <c r="AA13" s="223">
        <f>+'TOTAL UNRESTRICTED'!K13-'subtotal Board Designated'!K13</f>
        <v>2041.7199999999993</v>
      </c>
      <c r="AB13" s="204">
        <f>+'subtotal Board Designated'!K13</f>
        <v>10347.48</v>
      </c>
      <c r="AC13" s="204">
        <f>+'TOTAL Temp Resticted'!K13</f>
        <v>37672.879999999997</v>
      </c>
      <c r="AD13" s="204">
        <f>+'Total Perm Restricted'!K13</f>
        <v>0</v>
      </c>
      <c r="AE13" s="204">
        <f t="shared" si="2"/>
        <v>50062.079999999994</v>
      </c>
      <c r="AG13" s="233">
        <f>+'TOTAL UNRESTRICTED'!L13-'subtotal Board Designated'!L13</f>
        <v>1975</v>
      </c>
      <c r="AH13" s="213">
        <f>+'subtotal Board Designated'!L13</f>
        <v>10200</v>
      </c>
      <c r="AI13" s="213">
        <f>+'TOTAL Temp Resticted'!L13</f>
        <v>37950</v>
      </c>
      <c r="AJ13" s="213">
        <f>+'Total Perm Restricted'!L13</f>
        <v>0</v>
      </c>
      <c r="AK13" s="213">
        <f t="shared" si="3"/>
        <v>50125</v>
      </c>
    </row>
    <row r="14" spans="1:37" ht="16" thickBot="1" x14ac:dyDescent="0.25">
      <c r="A14" s="1"/>
      <c r="B14" s="1"/>
      <c r="C14" s="1"/>
      <c r="D14" s="1" t="s">
        <v>6</v>
      </c>
      <c r="E14" s="31"/>
      <c r="F14" s="184">
        <f>SUM(F9:F13)</f>
        <v>280827</v>
      </c>
      <c r="G14" s="163">
        <f>SUM(G9:G13)</f>
        <v>332502</v>
      </c>
      <c r="H14" s="62"/>
      <c r="I14" s="185">
        <f>SUM(I9:I13)</f>
        <v>285861</v>
      </c>
      <c r="J14" s="162">
        <f>SUM(J9:J13)</f>
        <v>259847.57</v>
      </c>
      <c r="K14" s="205">
        <f t="shared" ref="K14:L14" si="4">SUM(K9:K13)</f>
        <v>274062.08000000002</v>
      </c>
      <c r="L14" s="214">
        <f t="shared" si="4"/>
        <v>336125</v>
      </c>
      <c r="O14" s="184">
        <f t="shared" ref="O14:S14" si="5">SUM(O9:O13)</f>
        <v>212989</v>
      </c>
      <c r="P14" s="185">
        <f t="shared" si="5"/>
        <v>34718</v>
      </c>
      <c r="Q14" s="185">
        <f t="shared" si="5"/>
        <v>38154</v>
      </c>
      <c r="R14" s="185">
        <f t="shared" si="5"/>
        <v>0</v>
      </c>
      <c r="S14" s="185">
        <f t="shared" si="5"/>
        <v>285861</v>
      </c>
      <c r="U14" s="162">
        <f t="shared" ref="U14:Y14" si="6">SUM(U9:U13)</f>
        <v>210467.03</v>
      </c>
      <c r="V14" s="163">
        <f t="shared" si="6"/>
        <v>11892</v>
      </c>
      <c r="W14" s="163">
        <f t="shared" si="6"/>
        <v>37488.54</v>
      </c>
      <c r="X14" s="163">
        <f t="shared" si="6"/>
        <v>0</v>
      </c>
      <c r="Y14" s="163">
        <f t="shared" si="6"/>
        <v>259847.57</v>
      </c>
      <c r="AA14" s="224">
        <f>SUM(AA9:AA13)</f>
        <v>226041.72</v>
      </c>
      <c r="AB14" s="205">
        <f>SUM(AB9:AB13)</f>
        <v>10347.48</v>
      </c>
      <c r="AC14" s="205">
        <f>SUM(AC9:AC13)</f>
        <v>37672.879999999997</v>
      </c>
      <c r="AD14" s="205">
        <f>SUM(AD9:AD13)</f>
        <v>0</v>
      </c>
      <c r="AE14" s="205">
        <f>SUM(AE9:AE13)</f>
        <v>274062.08000000002</v>
      </c>
      <c r="AG14" s="234">
        <f t="shared" ref="AG14:AK14" si="7">SUM(AG9:AG13)</f>
        <v>287975</v>
      </c>
      <c r="AH14" s="214">
        <f t="shared" si="7"/>
        <v>10200</v>
      </c>
      <c r="AI14" s="214">
        <f t="shared" si="7"/>
        <v>37950</v>
      </c>
      <c r="AJ14" s="214">
        <f t="shared" si="7"/>
        <v>0</v>
      </c>
      <c r="AK14" s="214">
        <f t="shared" si="7"/>
        <v>336125</v>
      </c>
    </row>
    <row r="15" spans="1:37" ht="30" customHeight="1" x14ac:dyDescent="0.2">
      <c r="A15" s="1"/>
      <c r="B15" s="1"/>
      <c r="C15" s="1"/>
      <c r="D15" s="42" t="s">
        <v>2</v>
      </c>
      <c r="E15" s="31"/>
      <c r="F15" s="182"/>
      <c r="G15" s="161"/>
      <c r="H15" s="62"/>
      <c r="I15" s="183"/>
      <c r="J15" s="160"/>
      <c r="K15" s="204"/>
      <c r="L15" s="213"/>
      <c r="O15" s="182"/>
      <c r="P15" s="183"/>
      <c r="Q15" s="183"/>
      <c r="R15" s="183"/>
      <c r="S15" s="183"/>
      <c r="U15" s="160"/>
      <c r="V15" s="161"/>
      <c r="W15" s="161"/>
      <c r="X15" s="161"/>
      <c r="Y15" s="161"/>
      <c r="AA15" s="223"/>
      <c r="AB15" s="204"/>
      <c r="AC15" s="204"/>
      <c r="AD15" s="204"/>
      <c r="AE15" s="204"/>
      <c r="AG15" s="233"/>
      <c r="AH15" s="213"/>
      <c r="AI15" s="213"/>
      <c r="AJ15" s="213"/>
      <c r="AK15" s="213"/>
    </row>
    <row r="16" spans="1:37" x14ac:dyDescent="0.2">
      <c r="A16" s="1"/>
      <c r="B16" s="1"/>
      <c r="C16" s="1"/>
      <c r="D16" s="1"/>
      <c r="E16" s="43" t="s">
        <v>61</v>
      </c>
      <c r="F16" s="182">
        <f>'Total Perm Restricted'!F16+'TOTAL Temp Resticted'!F16+'TOTAL UNRESTRICTED'!F16</f>
        <v>147000</v>
      </c>
      <c r="G16" s="161">
        <f>'Total Perm Restricted'!G16+'TOTAL Temp Resticted'!G16+'TOTAL UNRESTRICTED'!G16</f>
        <v>175327</v>
      </c>
      <c r="H16" s="62"/>
      <c r="I16" s="182">
        <f>'Total Perm Restricted'!I16+'TOTAL Temp Resticted'!I16+'TOTAL UNRESTRICTED'!I16</f>
        <v>159426</v>
      </c>
      <c r="J16" s="160">
        <f>'Total Perm Restricted'!J16+'TOTAL Temp Resticted'!J16+'TOTAL UNRESTRICTED'!J16</f>
        <v>129897</v>
      </c>
      <c r="K16" s="204">
        <f>'Total Perm Restricted'!K16+'TOTAL Temp Resticted'!K16+'TOTAL UNRESTRICTED'!K16</f>
        <v>139921</v>
      </c>
      <c r="L16" s="213">
        <f>'Total Perm Restricted'!L16+'TOTAL Temp Resticted'!L16+'TOTAL UNRESTRICTED'!L16</f>
        <v>143953</v>
      </c>
      <c r="O16" s="182">
        <f>+'TOTAL UNRESTRICTED'!I16-'subtotal Board Designated'!I16</f>
        <v>159426</v>
      </c>
      <c r="P16" s="183">
        <f>+'subtotal Board Designated'!I16</f>
        <v>0</v>
      </c>
      <c r="Q16" s="183">
        <f>+'TOTAL Temp Resticted'!I16</f>
        <v>0</v>
      </c>
      <c r="R16" s="183">
        <f>+'Total Perm Restricted'!I16</f>
        <v>0</v>
      </c>
      <c r="S16" s="183">
        <f>SUM(O16:R16)</f>
        <v>159426</v>
      </c>
      <c r="U16" s="160">
        <f>+'TOTAL UNRESTRICTED'!J16-'subtotal Board Designated'!J16</f>
        <v>129897</v>
      </c>
      <c r="V16" s="161">
        <f>+'subtotal Board Designated'!J16</f>
        <v>0</v>
      </c>
      <c r="W16" s="161">
        <f>+'TOTAL Temp Resticted'!J16</f>
        <v>0</v>
      </c>
      <c r="X16" s="161">
        <f>+'Total Perm Restricted'!J16</f>
        <v>0</v>
      </c>
      <c r="Y16" s="161">
        <f>SUM(U16:X16)</f>
        <v>129897</v>
      </c>
      <c r="AA16" s="223">
        <f>+'TOTAL UNRESTRICTED'!K16-'subtotal Board Designated'!K16</f>
        <v>139921</v>
      </c>
      <c r="AB16" s="204">
        <f>+'subtotal Board Designated'!K16</f>
        <v>0</v>
      </c>
      <c r="AC16" s="204">
        <f>+'TOTAL Temp Resticted'!K16</f>
        <v>0</v>
      </c>
      <c r="AD16" s="204">
        <f>+'subtotal Board Designated'!M16</f>
        <v>0</v>
      </c>
      <c r="AE16" s="204">
        <f>SUM(AA16:AD16)</f>
        <v>139921</v>
      </c>
      <c r="AG16" s="233">
        <f>+'TOTAL UNRESTRICTED'!L16-'subtotal Board Designated'!L16</f>
        <v>143953</v>
      </c>
      <c r="AH16" s="213">
        <f>+'subtotal Board Designated'!L16</f>
        <v>0</v>
      </c>
      <c r="AI16" s="213">
        <f>+'TOTAL Temp Resticted'!L16</f>
        <v>0</v>
      </c>
      <c r="AJ16" s="213">
        <f>+'Total Perm Restricted'!L16</f>
        <v>0</v>
      </c>
      <c r="AK16" s="213">
        <f>SUM(AG16:AJ16)</f>
        <v>143953</v>
      </c>
    </row>
    <row r="17" spans="1:37" x14ac:dyDescent="0.2">
      <c r="A17" s="1"/>
      <c r="B17" s="1"/>
      <c r="C17" s="1"/>
      <c r="D17" s="1"/>
      <c r="E17" s="43" t="s">
        <v>62</v>
      </c>
      <c r="F17" s="182">
        <f>'Total Perm Restricted'!F17+'TOTAL Temp Resticted'!F17+'TOTAL UNRESTRICTED'!F17</f>
        <v>75500</v>
      </c>
      <c r="G17" s="161">
        <f>'Total Perm Restricted'!G17+'TOTAL Temp Resticted'!G17+'TOTAL UNRESTRICTED'!G17</f>
        <v>36000</v>
      </c>
      <c r="H17" s="62"/>
      <c r="I17" s="182">
        <f>'Total Perm Restricted'!I17+'TOTAL Temp Resticted'!I17+'TOTAL UNRESTRICTED'!I17</f>
        <v>42225</v>
      </c>
      <c r="J17" s="160">
        <f>'Total Perm Restricted'!J17+'TOTAL Temp Resticted'!J17+'TOTAL UNRESTRICTED'!J17</f>
        <v>45206</v>
      </c>
      <c r="K17" s="204">
        <f>'Total Perm Restricted'!K17+'TOTAL Temp Resticted'!K17+'TOTAL UNRESTRICTED'!K17</f>
        <v>58400</v>
      </c>
      <c r="L17" s="213">
        <f>'Total Perm Restricted'!L17+'TOTAL Temp Resticted'!L17+'TOTAL UNRESTRICTED'!L17</f>
        <v>49100</v>
      </c>
      <c r="O17" s="182">
        <f>+'TOTAL UNRESTRICTED'!I17-'subtotal Board Designated'!I17</f>
        <v>42225</v>
      </c>
      <c r="P17" s="183">
        <f>+'subtotal Board Designated'!I17</f>
        <v>0</v>
      </c>
      <c r="Q17" s="183">
        <f>+'TOTAL Temp Resticted'!I17</f>
        <v>0</v>
      </c>
      <c r="R17" s="183">
        <f>+'Total Perm Restricted'!I17</f>
        <v>0</v>
      </c>
      <c r="S17" s="183">
        <f t="shared" ref="S17:S24" si="8">SUM(O17:R17)</f>
        <v>42225</v>
      </c>
      <c r="U17" s="160">
        <f>+'TOTAL UNRESTRICTED'!J17-'subtotal Board Designated'!J17</f>
        <v>45206</v>
      </c>
      <c r="V17" s="161">
        <f>+'subtotal Board Designated'!J17</f>
        <v>0</v>
      </c>
      <c r="W17" s="161">
        <f>+'TOTAL Temp Resticted'!J17</f>
        <v>0</v>
      </c>
      <c r="X17" s="161">
        <f>+'Total Perm Restricted'!J17</f>
        <v>0</v>
      </c>
      <c r="Y17" s="161">
        <f t="shared" ref="Y17:Y24" si="9">SUM(U17:X17)</f>
        <v>45206</v>
      </c>
      <c r="AA17" s="223">
        <f>+'TOTAL UNRESTRICTED'!K17-'subtotal Board Designated'!K17</f>
        <v>58400</v>
      </c>
      <c r="AB17" s="204">
        <f>+'subtotal Board Designated'!K17</f>
        <v>0</v>
      </c>
      <c r="AC17" s="204">
        <f>+'TOTAL Temp Resticted'!K17</f>
        <v>0</v>
      </c>
      <c r="AD17" s="204">
        <f>+'subtotal Board Designated'!M17</f>
        <v>0</v>
      </c>
      <c r="AE17" s="204">
        <f t="shared" ref="AE17:AE24" si="10">SUM(AA17:AD17)</f>
        <v>58400</v>
      </c>
      <c r="AG17" s="233">
        <f>+'TOTAL UNRESTRICTED'!L17-'subtotal Board Designated'!L17</f>
        <v>49100</v>
      </c>
      <c r="AH17" s="213">
        <f>+'subtotal Board Designated'!L17</f>
        <v>0</v>
      </c>
      <c r="AI17" s="213">
        <f>+'TOTAL Temp Resticted'!L17</f>
        <v>0</v>
      </c>
      <c r="AJ17" s="213">
        <f>+'Total Perm Restricted'!L17</f>
        <v>0</v>
      </c>
      <c r="AK17" s="213">
        <f t="shared" ref="AK17:AK24" si="11">SUM(AG17:AJ17)</f>
        <v>49100</v>
      </c>
    </row>
    <row r="18" spans="1:37" x14ac:dyDescent="0.2">
      <c r="A18" s="1"/>
      <c r="B18" s="1"/>
      <c r="C18" s="1"/>
      <c r="D18" s="1"/>
      <c r="E18" s="43" t="s">
        <v>63</v>
      </c>
      <c r="F18" s="182">
        <f>'Total Perm Restricted'!F18+'TOTAL Temp Resticted'!F18+'TOTAL UNRESTRICTED'!F18</f>
        <v>15400</v>
      </c>
      <c r="G18" s="161">
        <f>'Total Perm Restricted'!G18+'TOTAL Temp Resticted'!G18+'TOTAL UNRESTRICTED'!G18</f>
        <v>20000</v>
      </c>
      <c r="H18" s="62"/>
      <c r="I18" s="182">
        <f>'Total Perm Restricted'!I18+'TOTAL Temp Resticted'!I18+'TOTAL UNRESTRICTED'!I18</f>
        <v>10158</v>
      </c>
      <c r="J18" s="160">
        <f>'Total Perm Restricted'!J18+'TOTAL Temp Resticted'!J18+'TOTAL UNRESTRICTED'!J18</f>
        <v>5481.7</v>
      </c>
      <c r="K18" s="204">
        <f>'Total Perm Restricted'!K18+'TOTAL Temp Resticted'!K18+'TOTAL UNRESTRICTED'!K18</f>
        <v>14700</v>
      </c>
      <c r="L18" s="213">
        <f>'Total Perm Restricted'!L18+'TOTAL Temp Resticted'!L18+'TOTAL UNRESTRICTED'!L18</f>
        <v>14700</v>
      </c>
      <c r="O18" s="182">
        <f>+'TOTAL UNRESTRICTED'!I18-'subtotal Board Designated'!I18</f>
        <v>10158</v>
      </c>
      <c r="P18" s="183">
        <f>+'subtotal Board Designated'!I18</f>
        <v>0</v>
      </c>
      <c r="Q18" s="183">
        <f>+'TOTAL Temp Resticted'!I18</f>
        <v>0</v>
      </c>
      <c r="R18" s="183">
        <f>+'Total Perm Restricted'!I18</f>
        <v>0</v>
      </c>
      <c r="S18" s="183">
        <f t="shared" si="8"/>
        <v>10158</v>
      </c>
      <c r="U18" s="160">
        <f>+'TOTAL UNRESTRICTED'!J18-'subtotal Board Designated'!J18</f>
        <v>4492</v>
      </c>
      <c r="V18" s="161">
        <f>+'subtotal Board Designated'!J18</f>
        <v>989.7</v>
      </c>
      <c r="W18" s="161">
        <f>+'TOTAL Temp Resticted'!J18</f>
        <v>0</v>
      </c>
      <c r="X18" s="161">
        <f>+'Total Perm Restricted'!J18</f>
        <v>0</v>
      </c>
      <c r="Y18" s="161">
        <f t="shared" si="9"/>
        <v>5481.7</v>
      </c>
      <c r="AA18" s="223">
        <f>+'TOTAL UNRESTRICTED'!K18-'subtotal Board Designated'!K18</f>
        <v>14700</v>
      </c>
      <c r="AB18" s="204">
        <f>+'subtotal Board Designated'!K18</f>
        <v>0</v>
      </c>
      <c r="AC18" s="204">
        <f>+'TOTAL Temp Resticted'!K18</f>
        <v>0</v>
      </c>
      <c r="AD18" s="204">
        <f>+'subtotal Board Designated'!M18</f>
        <v>0</v>
      </c>
      <c r="AE18" s="204">
        <f t="shared" si="10"/>
        <v>14700</v>
      </c>
      <c r="AG18" s="233">
        <f>+'TOTAL UNRESTRICTED'!L18-'subtotal Board Designated'!L18</f>
        <v>14700</v>
      </c>
      <c r="AH18" s="213">
        <f>+'subtotal Board Designated'!L18</f>
        <v>0</v>
      </c>
      <c r="AI18" s="213">
        <f>+'TOTAL Temp Resticted'!L18</f>
        <v>0</v>
      </c>
      <c r="AJ18" s="213">
        <f>+'Total Perm Restricted'!L18</f>
        <v>0</v>
      </c>
      <c r="AK18" s="213">
        <f t="shared" si="11"/>
        <v>14700</v>
      </c>
    </row>
    <row r="19" spans="1:37" x14ac:dyDescent="0.2">
      <c r="A19" s="1"/>
      <c r="B19" s="1"/>
      <c r="C19" s="1"/>
      <c r="D19" s="1"/>
      <c r="E19" s="43" t="s">
        <v>64</v>
      </c>
      <c r="F19" s="182">
        <f>'Total Perm Restricted'!F19+'TOTAL Temp Resticted'!F19+'TOTAL UNRESTRICTED'!F19</f>
        <v>6600</v>
      </c>
      <c r="G19" s="161">
        <f>'Total Perm Restricted'!G19+'TOTAL Temp Resticted'!G19+'TOTAL UNRESTRICTED'!G19</f>
        <v>43000</v>
      </c>
      <c r="H19" s="62"/>
      <c r="I19" s="182">
        <f>'Total Perm Restricted'!I19+'TOTAL Temp Resticted'!I19+'TOTAL UNRESTRICTED'!I19</f>
        <v>14788</v>
      </c>
      <c r="J19" s="160">
        <f>'Total Perm Restricted'!J19+'TOTAL Temp Resticted'!J19+'TOTAL UNRESTRICTED'!J19</f>
        <v>18948</v>
      </c>
      <c r="K19" s="204">
        <f>'Total Perm Restricted'!K19+'TOTAL Temp Resticted'!K19+'TOTAL UNRESTRICTED'!K19</f>
        <v>25600</v>
      </c>
      <c r="L19" s="213">
        <f>'Total Perm Restricted'!L19+'TOTAL Temp Resticted'!L19+'TOTAL UNRESTRICTED'!L19</f>
        <v>47000</v>
      </c>
      <c r="O19" s="182">
        <f>+'TOTAL UNRESTRICTED'!I19-'subtotal Board Designated'!I19</f>
        <v>14788</v>
      </c>
      <c r="P19" s="183">
        <f>+'subtotal Board Designated'!I19</f>
        <v>0</v>
      </c>
      <c r="Q19" s="183">
        <f>+'TOTAL Temp Resticted'!I19</f>
        <v>0</v>
      </c>
      <c r="R19" s="183">
        <f>+'Total Perm Restricted'!I19</f>
        <v>0</v>
      </c>
      <c r="S19" s="183">
        <f t="shared" si="8"/>
        <v>14788</v>
      </c>
      <c r="U19" s="160">
        <f>+'TOTAL UNRESTRICTED'!J19-'subtotal Board Designated'!J19</f>
        <v>18134</v>
      </c>
      <c r="V19" s="161">
        <f>+'subtotal Board Designated'!J19</f>
        <v>814</v>
      </c>
      <c r="W19" s="161">
        <f>+'TOTAL Temp Resticted'!J19</f>
        <v>0</v>
      </c>
      <c r="X19" s="161">
        <f>+'Total Perm Restricted'!J19</f>
        <v>0</v>
      </c>
      <c r="Y19" s="161">
        <f t="shared" si="9"/>
        <v>18948</v>
      </c>
      <c r="AA19" s="223">
        <f>+'TOTAL UNRESTRICTED'!K19-'subtotal Board Designated'!K19</f>
        <v>25600</v>
      </c>
      <c r="AB19" s="204">
        <f>+'subtotal Board Designated'!K19</f>
        <v>0</v>
      </c>
      <c r="AC19" s="204">
        <f>+'TOTAL Temp Resticted'!K19</f>
        <v>0</v>
      </c>
      <c r="AD19" s="204">
        <f>+'subtotal Board Designated'!M19</f>
        <v>0</v>
      </c>
      <c r="AE19" s="204">
        <f t="shared" si="10"/>
        <v>25600</v>
      </c>
      <c r="AG19" s="233">
        <f>+'TOTAL UNRESTRICTED'!L19-'subtotal Board Designated'!L19</f>
        <v>47000</v>
      </c>
      <c r="AH19" s="213">
        <f>+'subtotal Board Designated'!L19</f>
        <v>0</v>
      </c>
      <c r="AI19" s="213">
        <f>+'TOTAL Temp Resticted'!L19</f>
        <v>0</v>
      </c>
      <c r="AJ19" s="213">
        <f>+'Total Perm Restricted'!L19</f>
        <v>0</v>
      </c>
      <c r="AK19" s="213">
        <f t="shared" si="11"/>
        <v>47000</v>
      </c>
    </row>
    <row r="20" spans="1:37" x14ac:dyDescent="0.2">
      <c r="A20" s="1"/>
      <c r="B20" s="1"/>
      <c r="C20" s="1"/>
      <c r="D20" s="1"/>
      <c r="E20" s="43" t="s">
        <v>65</v>
      </c>
      <c r="F20" s="182">
        <f>'Total Perm Restricted'!F20+'TOTAL Temp Resticted'!F20+'TOTAL UNRESTRICTED'!F20</f>
        <v>48500</v>
      </c>
      <c r="G20" s="161">
        <f>'Total Perm Restricted'!G20+'TOTAL Temp Resticted'!G20+'TOTAL UNRESTRICTED'!G20</f>
        <v>42000</v>
      </c>
      <c r="H20" s="62"/>
      <c r="I20" s="182">
        <f>'Total Perm Restricted'!I20+'TOTAL Temp Resticted'!I20+'TOTAL UNRESTRICTED'!I20</f>
        <v>42100</v>
      </c>
      <c r="J20" s="160">
        <f>'Total Perm Restricted'!J20+'TOTAL Temp Resticted'!J20+'TOTAL UNRESTRICTED'!J20</f>
        <v>34055</v>
      </c>
      <c r="K20" s="204">
        <f>'Total Perm Restricted'!K20+'TOTAL Temp Resticted'!K20+'TOTAL UNRESTRICTED'!K20</f>
        <v>34000</v>
      </c>
      <c r="L20" s="213">
        <f>'Total Perm Restricted'!L20+'TOTAL Temp Resticted'!L20+'TOTAL UNRESTRICTED'!L20</f>
        <v>34500</v>
      </c>
      <c r="O20" s="182">
        <f>+'TOTAL UNRESTRICTED'!I20-'subtotal Board Designated'!I20</f>
        <v>42100</v>
      </c>
      <c r="P20" s="183">
        <f>+'subtotal Board Designated'!I20</f>
        <v>0</v>
      </c>
      <c r="Q20" s="183">
        <f>+'TOTAL Temp Resticted'!I20</f>
        <v>0</v>
      </c>
      <c r="R20" s="183">
        <f>+'Total Perm Restricted'!I20</f>
        <v>0</v>
      </c>
      <c r="S20" s="183">
        <f t="shared" si="8"/>
        <v>42100</v>
      </c>
      <c r="U20" s="160">
        <f>+'TOTAL UNRESTRICTED'!J20-'subtotal Board Designated'!J20</f>
        <v>34055</v>
      </c>
      <c r="V20" s="161">
        <f>+'subtotal Board Designated'!J20</f>
        <v>0</v>
      </c>
      <c r="W20" s="161">
        <f>+'TOTAL Temp Resticted'!J20</f>
        <v>0</v>
      </c>
      <c r="X20" s="161">
        <f>+'Total Perm Restricted'!J20</f>
        <v>0</v>
      </c>
      <c r="Y20" s="161">
        <f t="shared" si="9"/>
        <v>34055</v>
      </c>
      <c r="AA20" s="223">
        <f>+'TOTAL UNRESTRICTED'!K20-'subtotal Board Designated'!K20</f>
        <v>34000</v>
      </c>
      <c r="AB20" s="204">
        <f>+'subtotal Board Designated'!K20</f>
        <v>0</v>
      </c>
      <c r="AC20" s="204">
        <f>+'TOTAL Temp Resticted'!K20</f>
        <v>0</v>
      </c>
      <c r="AD20" s="204">
        <f>+'subtotal Board Designated'!M20</f>
        <v>0</v>
      </c>
      <c r="AE20" s="204">
        <f t="shared" si="10"/>
        <v>34000</v>
      </c>
      <c r="AG20" s="233">
        <f>+'TOTAL UNRESTRICTED'!L20-'subtotal Board Designated'!L20</f>
        <v>34500</v>
      </c>
      <c r="AH20" s="213">
        <f>+'subtotal Board Designated'!L20</f>
        <v>0</v>
      </c>
      <c r="AI20" s="213">
        <f>+'TOTAL Temp Resticted'!L20</f>
        <v>0</v>
      </c>
      <c r="AJ20" s="213">
        <f>+'Total Perm Restricted'!L20</f>
        <v>0</v>
      </c>
      <c r="AK20" s="213">
        <f t="shared" si="11"/>
        <v>34500</v>
      </c>
    </row>
    <row r="21" spans="1:37" x14ac:dyDescent="0.2">
      <c r="A21" s="1"/>
      <c r="B21" s="1"/>
      <c r="C21" s="1"/>
      <c r="D21" s="1"/>
      <c r="E21" s="43" t="s">
        <v>66</v>
      </c>
      <c r="F21" s="182">
        <f>'Total Perm Restricted'!F21+'TOTAL Temp Resticted'!F21+'TOTAL UNRESTRICTED'!F21</f>
        <v>9077</v>
      </c>
      <c r="G21" s="161">
        <f>'Total Perm Restricted'!G21+'TOTAL Temp Resticted'!G21+'TOTAL UNRESTRICTED'!G21</f>
        <v>7558</v>
      </c>
      <c r="H21" s="62"/>
      <c r="I21" s="182">
        <f>'Total Perm Restricted'!I21+'TOTAL Temp Resticted'!I21+'TOTAL UNRESTRICTED'!I21</f>
        <v>4500</v>
      </c>
      <c r="J21" s="160">
        <f>'Total Perm Restricted'!J21+'TOTAL Temp Resticted'!J21+'TOTAL UNRESTRICTED'!J21</f>
        <v>4000</v>
      </c>
      <c r="K21" s="204">
        <f>'Total Perm Restricted'!K21+'TOTAL Temp Resticted'!K21+'TOTAL UNRESTRICTED'!K21</f>
        <v>7971.4160000000002</v>
      </c>
      <c r="L21" s="213">
        <f>'Total Perm Restricted'!L21+'TOTAL Temp Resticted'!L21+'TOTAL UNRESTRICTED'!L21</f>
        <v>7975</v>
      </c>
      <c r="O21" s="182">
        <f>+'TOTAL UNRESTRICTED'!I21-'subtotal Board Designated'!I21</f>
        <v>0</v>
      </c>
      <c r="P21" s="183">
        <f>+'subtotal Board Designated'!I21</f>
        <v>1000</v>
      </c>
      <c r="Q21" s="183">
        <f>+'TOTAL Temp Resticted'!I21</f>
        <v>3500</v>
      </c>
      <c r="R21" s="183">
        <f>+'Total Perm Restricted'!I21</f>
        <v>0</v>
      </c>
      <c r="S21" s="183">
        <f t="shared" si="8"/>
        <v>4500</v>
      </c>
      <c r="U21" s="160">
        <f>+'TOTAL UNRESTRICTED'!J21-'subtotal Board Designated'!J21</f>
        <v>0</v>
      </c>
      <c r="V21" s="161">
        <f>+'subtotal Board Designated'!J21</f>
        <v>0</v>
      </c>
      <c r="W21" s="161">
        <f>+'TOTAL Temp Resticted'!J21</f>
        <v>4000</v>
      </c>
      <c r="X21" s="161">
        <f>+'Total Perm Restricted'!J21</f>
        <v>0</v>
      </c>
      <c r="Y21" s="161">
        <f t="shared" si="9"/>
        <v>4000</v>
      </c>
      <c r="AA21" s="223">
        <f>+'TOTAL UNRESTRICTED'!K21-'subtotal Board Designated'!K21</f>
        <v>0</v>
      </c>
      <c r="AB21" s="204">
        <f>+'subtotal Board Designated'!K21</f>
        <v>1915.72</v>
      </c>
      <c r="AC21" s="204">
        <f>+'TOTAL Temp Resticted'!K21</f>
        <v>6055.6959999999999</v>
      </c>
      <c r="AD21" s="204">
        <f>+'subtotal Board Designated'!M21</f>
        <v>0</v>
      </c>
      <c r="AE21" s="204">
        <f t="shared" si="10"/>
        <v>7971.4160000000002</v>
      </c>
      <c r="AG21" s="233">
        <f>+'TOTAL UNRESTRICTED'!L21-'subtotal Board Designated'!L21</f>
        <v>0</v>
      </c>
      <c r="AH21" s="213">
        <f>+'subtotal Board Designated'!L21</f>
        <v>1800</v>
      </c>
      <c r="AI21" s="213">
        <f>+'TOTAL Temp Resticted'!L21</f>
        <v>6175</v>
      </c>
      <c r="AJ21" s="213">
        <f>+'Total Perm Restricted'!L21</f>
        <v>0</v>
      </c>
      <c r="AK21" s="213">
        <f t="shared" si="11"/>
        <v>7975</v>
      </c>
    </row>
    <row r="22" spans="1:37" x14ac:dyDescent="0.2">
      <c r="A22" s="1"/>
      <c r="B22" s="1"/>
      <c r="C22" s="1"/>
      <c r="D22" s="1"/>
      <c r="E22" s="43" t="s">
        <v>67</v>
      </c>
      <c r="F22" s="182">
        <f>'Total Perm Restricted'!F22+'TOTAL Temp Resticted'!F22+'TOTAL UNRESTRICTED'!F22</f>
        <v>69585</v>
      </c>
      <c r="G22" s="161">
        <f>'Total Perm Restricted'!G22+'TOTAL Temp Resticted'!G22+'TOTAL UNRESTRICTED'!G22</f>
        <v>57107</v>
      </c>
      <c r="H22" s="62"/>
      <c r="I22" s="182">
        <f>'Total Perm Restricted'!I22+'TOTAL Temp Resticted'!I22+'TOTAL UNRESTRICTED'!I22</f>
        <v>69585</v>
      </c>
      <c r="J22" s="160">
        <f>'Total Perm Restricted'!J22+'TOTAL Temp Resticted'!J22+'TOTAL UNRESTRICTED'!J22</f>
        <v>57107</v>
      </c>
      <c r="K22" s="204">
        <f>'Total Perm Restricted'!K22+'TOTAL Temp Resticted'!K22+'TOTAL UNRESTRICTED'!K22</f>
        <v>56547</v>
      </c>
      <c r="L22" s="213">
        <f>'Total Perm Restricted'!L22+'TOTAL Temp Resticted'!L22+'TOTAL UNRESTRICTED'!L22</f>
        <v>57000</v>
      </c>
      <c r="O22" s="182">
        <f>+'TOTAL UNRESTRICTED'!I22-'subtotal Board Designated'!I22</f>
        <v>69585</v>
      </c>
      <c r="P22" s="183">
        <f>+'subtotal Board Designated'!I22</f>
        <v>0</v>
      </c>
      <c r="Q22" s="183">
        <f>+'TOTAL Temp Resticted'!I22</f>
        <v>0</v>
      </c>
      <c r="R22" s="183">
        <f>+'Total Perm Restricted'!I22</f>
        <v>0</v>
      </c>
      <c r="S22" s="183">
        <f t="shared" si="8"/>
        <v>69585</v>
      </c>
      <c r="U22" s="160">
        <f>+'TOTAL UNRESTRICTED'!J22-'subtotal Board Designated'!J22</f>
        <v>57107</v>
      </c>
      <c r="V22" s="161">
        <f>+'subtotal Board Designated'!J22</f>
        <v>0</v>
      </c>
      <c r="W22" s="161">
        <f>+'TOTAL Temp Resticted'!J22</f>
        <v>0</v>
      </c>
      <c r="X22" s="161">
        <f>+'Total Perm Restricted'!J22</f>
        <v>0</v>
      </c>
      <c r="Y22" s="161">
        <f t="shared" si="9"/>
        <v>57107</v>
      </c>
      <c r="AA22" s="223">
        <f>+'TOTAL UNRESTRICTED'!K22-'subtotal Board Designated'!K22</f>
        <v>56547</v>
      </c>
      <c r="AB22" s="204">
        <f>+'subtotal Board Designated'!K22</f>
        <v>0</v>
      </c>
      <c r="AC22" s="204">
        <f>+'TOTAL Temp Resticted'!K22</f>
        <v>0</v>
      </c>
      <c r="AD22" s="204">
        <f>+'subtotal Board Designated'!M22</f>
        <v>0</v>
      </c>
      <c r="AE22" s="204">
        <f t="shared" si="10"/>
        <v>56547</v>
      </c>
      <c r="AG22" s="233">
        <f>+'TOTAL UNRESTRICTED'!L22-'subtotal Board Designated'!L22</f>
        <v>57000</v>
      </c>
      <c r="AH22" s="213">
        <f>+'subtotal Board Designated'!L22</f>
        <v>0</v>
      </c>
      <c r="AI22" s="213">
        <f>+'TOTAL Temp Resticted'!L22</f>
        <v>0</v>
      </c>
      <c r="AJ22" s="213">
        <f>+'Total Perm Restricted'!L22</f>
        <v>0</v>
      </c>
      <c r="AK22" s="213">
        <f t="shared" si="11"/>
        <v>57000</v>
      </c>
    </row>
    <row r="23" spans="1:37" x14ac:dyDescent="0.2">
      <c r="A23" s="1"/>
      <c r="B23" s="1"/>
      <c r="C23" s="1"/>
      <c r="D23" s="1"/>
      <c r="E23" s="43" t="s">
        <v>68</v>
      </c>
      <c r="F23" s="182">
        <f>'Total Perm Restricted'!F23+'TOTAL Temp Resticted'!F23+'TOTAL UNRESTRICTED'!F23</f>
        <v>2000</v>
      </c>
      <c r="G23" s="161">
        <f>'Total Perm Restricted'!G23+'TOTAL Temp Resticted'!G23+'TOTAL UNRESTRICTED'!G23</f>
        <v>2500</v>
      </c>
      <c r="H23" s="62"/>
      <c r="I23" s="182">
        <f>'Total Perm Restricted'!I23+'TOTAL Temp Resticted'!I23+'TOTAL UNRESTRICTED'!I23</f>
        <v>4418</v>
      </c>
      <c r="J23" s="160">
        <f>'Total Perm Restricted'!J23+'TOTAL Temp Resticted'!J23+'TOTAL UNRESTRICTED'!J23</f>
        <v>1958</v>
      </c>
      <c r="K23" s="204">
        <f>'Total Perm Restricted'!K23+'TOTAL Temp Resticted'!K23+'TOTAL UNRESTRICTED'!K23</f>
        <v>1000</v>
      </c>
      <c r="L23" s="213">
        <f>'Total Perm Restricted'!L23+'TOTAL Temp Resticted'!L23+'TOTAL UNRESTRICTED'!L23</f>
        <v>1000</v>
      </c>
      <c r="O23" s="182">
        <f>+'TOTAL UNRESTRICTED'!I23-'subtotal Board Designated'!I23</f>
        <v>3848</v>
      </c>
      <c r="P23" s="183">
        <f>+'subtotal Board Designated'!I23</f>
        <v>0</v>
      </c>
      <c r="Q23" s="183">
        <f>+'TOTAL Temp Resticted'!I23</f>
        <v>0</v>
      </c>
      <c r="R23" s="183">
        <f>+'Total Perm Restricted'!I23</f>
        <v>570</v>
      </c>
      <c r="S23" s="183">
        <f t="shared" si="8"/>
        <v>4418</v>
      </c>
      <c r="U23" s="160">
        <f>+'TOTAL UNRESTRICTED'!J23-'subtotal Board Designated'!J23</f>
        <v>1958</v>
      </c>
      <c r="V23" s="161">
        <f>+'subtotal Board Designated'!J23</f>
        <v>0</v>
      </c>
      <c r="W23" s="161">
        <f>+'TOTAL Temp Resticted'!J23</f>
        <v>0</v>
      </c>
      <c r="X23" s="161">
        <f>+'Total Perm Restricted'!J23</f>
        <v>0</v>
      </c>
      <c r="Y23" s="161">
        <f t="shared" si="9"/>
        <v>1958</v>
      </c>
      <c r="AA23" s="223">
        <f>+'TOTAL UNRESTRICTED'!K23-'subtotal Board Designated'!K23</f>
        <v>1000</v>
      </c>
      <c r="AB23" s="204">
        <f>+'subtotal Board Designated'!K23</f>
        <v>0</v>
      </c>
      <c r="AC23" s="204">
        <f>+'TOTAL Temp Resticted'!K23</f>
        <v>0</v>
      </c>
      <c r="AD23" s="204">
        <f>+'subtotal Board Designated'!M23</f>
        <v>0</v>
      </c>
      <c r="AE23" s="204">
        <f t="shared" si="10"/>
        <v>1000</v>
      </c>
      <c r="AG23" s="233">
        <f>+'TOTAL UNRESTRICTED'!L23-'subtotal Board Designated'!L23</f>
        <v>1000</v>
      </c>
      <c r="AH23" s="213">
        <f>+'subtotal Board Designated'!L23</f>
        <v>0</v>
      </c>
      <c r="AI23" s="213">
        <f>+'TOTAL Temp Resticted'!L23</f>
        <v>0</v>
      </c>
      <c r="AJ23" s="213">
        <f>+'Total Perm Restricted'!L23</f>
        <v>0</v>
      </c>
      <c r="AK23" s="213">
        <f t="shared" si="11"/>
        <v>1000</v>
      </c>
    </row>
    <row r="24" spans="1:37" ht="16" thickBot="1" x14ac:dyDescent="0.25">
      <c r="A24" s="1"/>
      <c r="B24" s="1"/>
      <c r="C24" s="1"/>
      <c r="D24" s="1"/>
      <c r="E24" s="43" t="s">
        <v>14</v>
      </c>
      <c r="F24" s="182">
        <f>'Total Perm Restricted'!F24+'TOTAL Temp Resticted'!F24+'TOTAL UNRESTRICTED'!F24</f>
        <v>0</v>
      </c>
      <c r="G24" s="161">
        <f>'Total Perm Restricted'!G24+'TOTAL Temp Resticted'!G24+'TOTAL UNRESTRICTED'!G24</f>
        <v>4279</v>
      </c>
      <c r="H24" s="62"/>
      <c r="I24" s="182">
        <f>'Total Perm Restricted'!I24+'TOTAL Temp Resticted'!I24+'TOTAL UNRESTRICTED'!I24</f>
        <v>0</v>
      </c>
      <c r="J24" s="160">
        <f>'Total Perm Restricted'!J24+'TOTAL Temp Resticted'!J24+'TOTAL UNRESTRICTED'!J24</f>
        <v>0</v>
      </c>
      <c r="K24" s="204">
        <f>'Total Perm Restricted'!K24+'TOTAL Temp Resticted'!K24+'TOTAL UNRESTRICTED'!K24</f>
        <v>0</v>
      </c>
      <c r="L24" s="213">
        <f>'Total Perm Restricted'!L24+'TOTAL Temp Resticted'!L24+'TOTAL UNRESTRICTED'!L24</f>
        <v>0</v>
      </c>
      <c r="O24" s="182">
        <f>+'TOTAL UNRESTRICTED'!I24-'subtotal Board Designated'!I24</f>
        <v>0</v>
      </c>
      <c r="P24" s="183">
        <f>+'subtotal Board Designated'!I24</f>
        <v>0</v>
      </c>
      <c r="Q24" s="183">
        <f>+'TOTAL Temp Resticted'!I24</f>
        <v>0</v>
      </c>
      <c r="R24" s="183">
        <f>+'Total Perm Restricted'!I24</f>
        <v>0</v>
      </c>
      <c r="S24" s="183">
        <f t="shared" si="8"/>
        <v>0</v>
      </c>
      <c r="U24" s="160">
        <f>+'TOTAL UNRESTRICTED'!J24-'subtotal Board Designated'!J24</f>
        <v>0</v>
      </c>
      <c r="V24" s="161">
        <f>+'subtotal Board Designated'!J24</f>
        <v>0</v>
      </c>
      <c r="W24" s="161">
        <f>+'TOTAL Temp Resticted'!J24</f>
        <v>0</v>
      </c>
      <c r="X24" s="161">
        <f>+'Total Perm Restricted'!J24</f>
        <v>0</v>
      </c>
      <c r="Y24" s="161">
        <f t="shared" si="9"/>
        <v>0</v>
      </c>
      <c r="AA24" s="223">
        <f>+'TOTAL UNRESTRICTED'!K24-'subtotal Board Designated'!K24</f>
        <v>0</v>
      </c>
      <c r="AB24" s="204">
        <f>+'subtotal Board Designated'!K24</f>
        <v>0</v>
      </c>
      <c r="AC24" s="204">
        <f>+'TOTAL Temp Resticted'!K24</f>
        <v>0</v>
      </c>
      <c r="AD24" s="204">
        <f>+'subtotal Board Designated'!M24</f>
        <v>0</v>
      </c>
      <c r="AE24" s="204">
        <f t="shared" si="10"/>
        <v>0</v>
      </c>
      <c r="AG24" s="233">
        <f>+'TOTAL UNRESTRICTED'!L24-'subtotal Board Designated'!L24</f>
        <v>0</v>
      </c>
      <c r="AH24" s="213">
        <f>+'subtotal Board Designated'!Q24</f>
        <v>0</v>
      </c>
      <c r="AI24" s="213">
        <f>+'TOTAL Temp Resticted'!L24</f>
        <v>0</v>
      </c>
      <c r="AJ24" s="213">
        <f>+'Total Perm Restricted'!L24</f>
        <v>0</v>
      </c>
      <c r="AK24" s="213">
        <f t="shared" si="11"/>
        <v>0</v>
      </c>
    </row>
    <row r="25" spans="1:37" ht="16" thickBot="1" x14ac:dyDescent="0.25">
      <c r="A25" s="1"/>
      <c r="B25" s="1"/>
      <c r="C25" s="1"/>
      <c r="D25" s="1" t="s">
        <v>7</v>
      </c>
      <c r="E25" s="31"/>
      <c r="F25" s="184">
        <f>SUM(F16:F24)</f>
        <v>373662</v>
      </c>
      <c r="G25" s="163">
        <f>SUM(G16:G24)</f>
        <v>387771</v>
      </c>
      <c r="H25" s="62"/>
      <c r="I25" s="200">
        <f>SUM(I16:I24)</f>
        <v>347200</v>
      </c>
      <c r="J25" s="163">
        <f>SUM(J16:J24)</f>
        <v>296652.7</v>
      </c>
      <c r="K25" s="205">
        <f>SUM(K16:K24)</f>
        <v>338139.41600000003</v>
      </c>
      <c r="L25" s="214">
        <f t="shared" ref="L25" si="12">SUM(L16:L24)</f>
        <v>355228</v>
      </c>
      <c r="O25" s="184">
        <f t="shared" ref="O25:S25" si="13">SUM(O16:O24)</f>
        <v>342130</v>
      </c>
      <c r="P25" s="185">
        <f t="shared" si="13"/>
        <v>1000</v>
      </c>
      <c r="Q25" s="185">
        <f t="shared" si="13"/>
        <v>3500</v>
      </c>
      <c r="R25" s="185">
        <f t="shared" si="13"/>
        <v>570</v>
      </c>
      <c r="S25" s="185">
        <f t="shared" si="13"/>
        <v>347200</v>
      </c>
      <c r="U25" s="162">
        <f t="shared" ref="U25:Y25" si="14">SUM(U16:U24)</f>
        <v>290849</v>
      </c>
      <c r="V25" s="163">
        <f t="shared" si="14"/>
        <v>1803.7</v>
      </c>
      <c r="W25" s="163">
        <f t="shared" si="14"/>
        <v>4000</v>
      </c>
      <c r="X25" s="163">
        <f t="shared" si="14"/>
        <v>0</v>
      </c>
      <c r="Y25" s="163">
        <f t="shared" si="14"/>
        <v>296652.7</v>
      </c>
      <c r="AA25" s="224">
        <f t="shared" ref="AA25:AE25" si="15">SUM(AA16:AA24)</f>
        <v>330168</v>
      </c>
      <c r="AB25" s="205">
        <f t="shared" si="15"/>
        <v>1915.72</v>
      </c>
      <c r="AC25" s="205">
        <f t="shared" si="15"/>
        <v>6055.6959999999999</v>
      </c>
      <c r="AD25" s="205">
        <f t="shared" si="15"/>
        <v>0</v>
      </c>
      <c r="AE25" s="205">
        <f t="shared" si="15"/>
        <v>338139.41600000003</v>
      </c>
      <c r="AG25" s="234">
        <f t="shared" ref="AG25:AK25" si="16">SUM(AG16:AG24)</f>
        <v>347253</v>
      </c>
      <c r="AH25" s="214">
        <f t="shared" si="16"/>
        <v>1800</v>
      </c>
      <c r="AI25" s="214">
        <f t="shared" si="16"/>
        <v>6175</v>
      </c>
      <c r="AJ25" s="214">
        <f t="shared" si="16"/>
        <v>0</v>
      </c>
      <c r="AK25" s="214">
        <f t="shared" si="16"/>
        <v>355228</v>
      </c>
    </row>
    <row r="26" spans="1:37" s="6" customFormat="1" ht="40" customHeight="1" thickBot="1" x14ac:dyDescent="0.25">
      <c r="A26" s="1"/>
      <c r="B26" s="42" t="s">
        <v>4</v>
      </c>
      <c r="C26" s="1"/>
      <c r="D26" s="1"/>
      <c r="E26" s="31"/>
      <c r="F26" s="186">
        <f t="shared" ref="F26:G26" si="17">F14-F25</f>
        <v>-92835</v>
      </c>
      <c r="G26" s="165">
        <f t="shared" si="17"/>
        <v>-55269</v>
      </c>
      <c r="H26" s="70"/>
      <c r="I26" s="187">
        <f t="shared" ref="I26" si="18">I14-I25</f>
        <v>-61339</v>
      </c>
      <c r="J26" s="164">
        <f t="shared" ref="J26:L26" si="19">J14-J25</f>
        <v>-36805.130000000005</v>
      </c>
      <c r="K26" s="206">
        <f t="shared" si="19"/>
        <v>-64077.33600000001</v>
      </c>
      <c r="L26" s="215">
        <f t="shared" si="19"/>
        <v>-19103</v>
      </c>
      <c r="O26" s="186">
        <f t="shared" ref="O26:S26" si="20">O14-O25</f>
        <v>-129141</v>
      </c>
      <c r="P26" s="187">
        <f t="shared" si="20"/>
        <v>33718</v>
      </c>
      <c r="Q26" s="187">
        <f t="shared" si="20"/>
        <v>34654</v>
      </c>
      <c r="R26" s="187">
        <f t="shared" si="20"/>
        <v>-570</v>
      </c>
      <c r="S26" s="187">
        <f t="shared" si="20"/>
        <v>-61339</v>
      </c>
      <c r="U26" s="164">
        <f t="shared" ref="U26:Y26" si="21">U14-U25</f>
        <v>-80381.97</v>
      </c>
      <c r="V26" s="165">
        <f t="shared" si="21"/>
        <v>10088.299999999999</v>
      </c>
      <c r="W26" s="165">
        <f t="shared" si="21"/>
        <v>33488.54</v>
      </c>
      <c r="X26" s="165">
        <f t="shared" si="21"/>
        <v>0</v>
      </c>
      <c r="Y26" s="165">
        <f t="shared" si="21"/>
        <v>-36805.130000000005</v>
      </c>
      <c r="AA26" s="225">
        <f t="shared" ref="AA26:AE26" si="22">AA14-AA25</f>
        <v>-104126.28</v>
      </c>
      <c r="AB26" s="206">
        <f t="shared" si="22"/>
        <v>8431.76</v>
      </c>
      <c r="AC26" s="206">
        <f t="shared" si="22"/>
        <v>31617.183999999997</v>
      </c>
      <c r="AD26" s="206">
        <f t="shared" si="22"/>
        <v>0</v>
      </c>
      <c r="AE26" s="206">
        <f t="shared" si="22"/>
        <v>-64077.33600000001</v>
      </c>
      <c r="AG26" s="235">
        <f t="shared" ref="AG26:AK26" si="23">AG14-AG25</f>
        <v>-59278</v>
      </c>
      <c r="AH26" s="215">
        <f t="shared" si="23"/>
        <v>8400</v>
      </c>
      <c r="AI26" s="215">
        <f t="shared" si="23"/>
        <v>31775</v>
      </c>
      <c r="AJ26" s="215">
        <f t="shared" si="23"/>
        <v>0</v>
      </c>
      <c r="AK26" s="215">
        <f t="shared" si="23"/>
        <v>-19103</v>
      </c>
    </row>
    <row r="27" spans="1:37" ht="37" customHeight="1" thickTop="1" x14ac:dyDescent="0.2">
      <c r="A27" s="1"/>
      <c r="B27" s="1" t="s">
        <v>9</v>
      </c>
      <c r="C27" s="1"/>
      <c r="D27" s="1"/>
      <c r="E27" s="31"/>
      <c r="F27" s="182"/>
      <c r="G27" s="161"/>
      <c r="H27" s="62"/>
      <c r="I27" s="183"/>
      <c r="J27" s="160"/>
      <c r="K27" s="204"/>
      <c r="L27" s="213"/>
      <c r="O27" s="182"/>
      <c r="P27" s="183"/>
      <c r="Q27" s="183"/>
      <c r="R27" s="183"/>
      <c r="S27" s="183"/>
      <c r="U27" s="160"/>
      <c r="V27" s="161"/>
      <c r="W27" s="161"/>
      <c r="X27" s="161"/>
      <c r="Y27" s="161"/>
      <c r="AA27" s="223"/>
      <c r="AB27" s="204"/>
      <c r="AC27" s="204"/>
      <c r="AD27" s="204"/>
      <c r="AE27" s="204"/>
      <c r="AG27" s="233"/>
      <c r="AH27" s="213"/>
      <c r="AI27" s="213"/>
      <c r="AJ27" s="213"/>
      <c r="AK27" s="213"/>
    </row>
    <row r="28" spans="1:37" x14ac:dyDescent="0.2">
      <c r="A28" s="1"/>
      <c r="B28" s="1"/>
      <c r="C28" s="1" t="s">
        <v>8</v>
      </c>
      <c r="D28" s="1"/>
      <c r="E28" s="31"/>
      <c r="F28" s="182"/>
      <c r="G28" s="161"/>
      <c r="H28" s="62"/>
      <c r="I28" s="183"/>
      <c r="J28" s="160"/>
      <c r="K28" s="204"/>
      <c r="L28" s="213"/>
      <c r="O28" s="182"/>
      <c r="P28" s="183"/>
      <c r="Q28" s="183"/>
      <c r="R28" s="183"/>
      <c r="S28" s="183"/>
      <c r="U28" s="160"/>
      <c r="V28" s="161"/>
      <c r="W28" s="161"/>
      <c r="X28" s="161"/>
      <c r="Y28" s="161"/>
      <c r="AA28" s="223"/>
      <c r="AB28" s="204"/>
      <c r="AC28" s="204"/>
      <c r="AD28" s="204"/>
      <c r="AE28" s="204"/>
      <c r="AG28" s="233"/>
      <c r="AH28" s="213"/>
      <c r="AI28" s="213"/>
      <c r="AJ28" s="213"/>
      <c r="AK28" s="213"/>
    </row>
    <row r="29" spans="1:37" x14ac:dyDescent="0.2">
      <c r="A29" s="1"/>
      <c r="B29" s="1"/>
      <c r="C29" s="1"/>
      <c r="D29" s="41"/>
      <c r="E29" s="43" t="s">
        <v>69</v>
      </c>
      <c r="F29" s="182">
        <f>'Total Perm Restricted'!F29+'TOTAL Temp Resticted'!F29+'TOTAL UNRESTRICTED'!F29</f>
        <v>48000</v>
      </c>
      <c r="G29" s="161">
        <f>'Total Perm Restricted'!G29+'TOTAL Temp Resticted'!G29+'TOTAL UNRESTRICTED'!G29</f>
        <v>56500</v>
      </c>
      <c r="H29" s="62"/>
      <c r="I29" s="183">
        <f>'Total Perm Restricted'!I29+'TOTAL Temp Resticted'!I29+'TOTAL UNRESTRICTED'!I29</f>
        <v>0</v>
      </c>
      <c r="J29" s="161">
        <f>'Total Perm Restricted'!J29+'TOTAL Temp Resticted'!J29+'TOTAL UNRESTRICTED'!J29</f>
        <v>0</v>
      </c>
      <c r="K29" s="204">
        <f>'Total Perm Restricted'!K29+'TOTAL Temp Resticted'!K29+'TOTAL UNRESTRICTED'!K29</f>
        <v>0.47999999999592546</v>
      </c>
      <c r="L29" s="213">
        <f>'Total Perm Restricted'!L29+'TOTAL Temp Resticted'!L29+'TOTAL UNRESTRICTED'!L29</f>
        <v>0</v>
      </c>
      <c r="O29" s="182">
        <f>+'TOTAL UNRESTRICTED'!I29-'subtotal Board Designated'!I29</f>
        <v>171739</v>
      </c>
      <c r="P29" s="183">
        <f>+'subtotal Board Designated'!I29</f>
        <v>-143070</v>
      </c>
      <c r="Q29" s="183">
        <f>+'TOTAL Temp Resticted'!I29</f>
        <v>-28669</v>
      </c>
      <c r="R29" s="183">
        <f>+'Total Perm Restricted'!I29</f>
        <v>0</v>
      </c>
      <c r="S29" s="183">
        <f t="shared" ref="S29:S31" si="24">SUM(O29:R29)</f>
        <v>0</v>
      </c>
      <c r="U29" s="160">
        <f>+'TOTAL UNRESTRICTED'!J29-'subtotal Board Designated'!J29</f>
        <v>27000</v>
      </c>
      <c r="V29" s="161">
        <f>+'subtotal Board Designated'!J29</f>
        <v>-27000</v>
      </c>
      <c r="W29" s="161">
        <f>+'TOTAL Temp Resticted'!J29</f>
        <v>0</v>
      </c>
      <c r="X29" s="161">
        <f>+'Total Perm Restricted'!J29</f>
        <v>0</v>
      </c>
      <c r="Y29" s="161">
        <f t="shared" ref="Y29:Y31" si="25">SUM(U29:X29)</f>
        <v>0</v>
      </c>
      <c r="AA29" s="223">
        <f>+'TOTAL UNRESTRICTED'!K29-'subtotal Board Designated'!K29</f>
        <v>103670.76999999999</v>
      </c>
      <c r="AB29" s="204">
        <f>+'subtotal Board Designated'!K29</f>
        <v>-38038.545999999995</v>
      </c>
      <c r="AC29" s="204">
        <f>+'TOTAL Temp Resticted'!K29</f>
        <v>-65631.744000000006</v>
      </c>
      <c r="AD29" s="204">
        <f>+'Total Perm Restricted'!K29</f>
        <v>0</v>
      </c>
      <c r="AE29" s="204">
        <f t="shared" ref="AE29" si="26">SUM(AA29:AD29)</f>
        <v>0.47999999998137355</v>
      </c>
      <c r="AG29" s="233">
        <f>+'TOTAL UNRESTRICTED'!L29-'subtotal Board Designated'!L29</f>
        <v>70304.785999999993</v>
      </c>
      <c r="AH29" s="213">
        <f>+'subtotal Board Designated'!L29</f>
        <v>-25929.786</v>
      </c>
      <c r="AI29" s="213">
        <f>+'TOTAL Temp Resticted'!L29</f>
        <v>-44375</v>
      </c>
      <c r="AJ29" s="213">
        <f>+'Total Perm Restricted'!L29</f>
        <v>0</v>
      </c>
      <c r="AK29" s="213">
        <f>SUM(AG29:AJ29)</f>
        <v>-7.2759576141834259E-12</v>
      </c>
    </row>
    <row r="30" spans="1:37" x14ac:dyDescent="0.2">
      <c r="A30" s="1"/>
      <c r="B30" s="1"/>
      <c r="C30" s="1"/>
      <c r="D30" s="44"/>
      <c r="E30" s="63" t="s">
        <v>16</v>
      </c>
      <c r="F30" s="182">
        <f>'Total Perm Restricted'!F30+'TOTAL Temp Resticted'!F30+'TOTAL UNRESTRICTED'!F30</f>
        <v>45000</v>
      </c>
      <c r="G30" s="161">
        <f>'Total Perm Restricted'!G30+'TOTAL Temp Resticted'!G30+'TOTAL UNRESTRICTED'!G30</f>
        <v>0</v>
      </c>
      <c r="H30" s="62"/>
      <c r="I30" s="183">
        <f>'Total Perm Restricted'!I30+'TOTAL Temp Resticted'!I30+'TOTAL UNRESTRICTED'!I30</f>
        <v>0</v>
      </c>
      <c r="J30" s="161">
        <f>'Total Perm Restricted'!J30+'TOTAL Temp Resticted'!J30+'TOTAL UNRESTRICTED'!J30</f>
        <v>0</v>
      </c>
      <c r="K30" s="204">
        <f>'Total Perm Restricted'!K30+'TOTAL Temp Resticted'!K30+'TOTAL UNRESTRICTED'!K30</f>
        <v>0</v>
      </c>
      <c r="L30" s="213">
        <f>'Total Perm Restricted'!L30+'TOTAL Temp Resticted'!L30+'TOTAL UNRESTRICTED'!L30</f>
        <v>0</v>
      </c>
      <c r="M30" s="55"/>
      <c r="O30" s="182">
        <f>+'TOTAL UNRESTRICTED'!I30-'subtotal Board Designated'!I30</f>
        <v>0</v>
      </c>
      <c r="P30" s="183">
        <f>+'subtotal Board Designated'!I30</f>
        <v>0</v>
      </c>
      <c r="Q30" s="183">
        <f>+'TOTAL Temp Resticted'!I30</f>
        <v>0</v>
      </c>
      <c r="R30" s="183">
        <f>+'Total Perm Restricted'!I30</f>
        <v>0</v>
      </c>
      <c r="S30" s="183">
        <f t="shared" si="24"/>
        <v>0</v>
      </c>
      <c r="U30" s="160">
        <f>+'TOTAL UNRESTRICTED'!J30-'subtotal Board Designated'!J30</f>
        <v>0</v>
      </c>
      <c r="V30" s="161">
        <f>+'subtotal Board Designated'!J30</f>
        <v>0</v>
      </c>
      <c r="W30" s="161">
        <f>+'TOTAL Temp Resticted'!J30</f>
        <v>0</v>
      </c>
      <c r="X30" s="161">
        <f>+'Total Perm Restricted'!J30</f>
        <v>0</v>
      </c>
      <c r="Y30" s="161">
        <f t="shared" si="25"/>
        <v>0</v>
      </c>
      <c r="AA30" s="223">
        <f>+'TOTAL UNRESTRICTED'!K30-'subtotal Board Designated'!K30</f>
        <v>0</v>
      </c>
      <c r="AB30" s="204">
        <f>+'subtotal Board Designated'!K30</f>
        <v>0</v>
      </c>
      <c r="AC30" s="204">
        <f>+'TOTAL Temp Resticted'!K30</f>
        <v>0</v>
      </c>
      <c r="AD30" s="204">
        <f>+'Total Perm Restricted'!K30</f>
        <v>0</v>
      </c>
      <c r="AE30" s="204">
        <f t="shared" ref="AE30:AE34" si="27">SUM(AA30:AD30)</f>
        <v>0</v>
      </c>
      <c r="AG30" s="233">
        <f>+'TOTAL UNRESTRICTED'!L30-'subtotal Board Designated'!L30</f>
        <v>0</v>
      </c>
      <c r="AH30" s="213">
        <f>+'subtotal Board Designated'!L30</f>
        <v>0</v>
      </c>
      <c r="AI30" s="213">
        <f>+'TOTAL Temp Resticted'!L30</f>
        <v>0</v>
      </c>
      <c r="AJ30" s="213">
        <f>+'Total Perm Restricted'!L30</f>
        <v>0</v>
      </c>
      <c r="AK30" s="213">
        <f t="shared" ref="AK30:AK31" si="28">SUM(AG30:AJ30)</f>
        <v>0</v>
      </c>
    </row>
    <row r="31" spans="1:37" ht="16" thickBot="1" x14ac:dyDescent="0.25">
      <c r="A31" s="1"/>
      <c r="B31" s="1"/>
      <c r="C31" s="1"/>
      <c r="D31" s="41"/>
      <c r="E31" s="43" t="s">
        <v>70</v>
      </c>
      <c r="F31" s="188">
        <f>'Total Perm Restricted'!F31+'TOTAL Temp Resticted'!F31+'TOTAL UNRESTRICTED'!F31</f>
        <v>0</v>
      </c>
      <c r="G31" s="166">
        <f>'Total Perm Restricted'!G31+'TOTAL Temp Resticted'!G31+'TOTAL UNRESTRICTED'!G31</f>
        <v>0</v>
      </c>
      <c r="H31" s="62"/>
      <c r="I31" s="188">
        <f>'Total Perm Restricted'!I31+'TOTAL Temp Resticted'!I31+'TOTAL UNRESTRICTED'!I31</f>
        <v>-82302</v>
      </c>
      <c r="J31" s="177">
        <f>'Total Perm Restricted'!J31+'TOTAL Temp Resticted'!J31+'TOTAL UNRESTRICTED'!J31</f>
        <v>32229</v>
      </c>
      <c r="K31" s="226">
        <f>'Total Perm Restricted'!K31+'TOTAL Temp Resticted'!K31+'TOTAL UNRESTRICTED'!K31</f>
        <v>0</v>
      </c>
      <c r="L31" s="216">
        <f>'Total Perm Restricted'!L31+'TOTAL Temp Resticted'!L31+'TOTAL UNRESTRICTED'!L31</f>
        <v>0</v>
      </c>
      <c r="O31" s="188">
        <f>+'TOTAL UNRESTRICTED'!I31-'subtotal Board Designated'!I31</f>
        <v>-931</v>
      </c>
      <c r="P31" s="188">
        <f>+'subtotal Board Designated'!I31</f>
        <v>-18016</v>
      </c>
      <c r="Q31" s="188">
        <f>+'TOTAL Temp Resticted'!I31</f>
        <v>-25802</v>
      </c>
      <c r="R31" s="188">
        <f>+'Total Perm Restricted'!I31</f>
        <v>-37553</v>
      </c>
      <c r="S31" s="189">
        <f t="shared" si="24"/>
        <v>-82302</v>
      </c>
      <c r="U31" s="177">
        <f>+'TOTAL UNRESTRICTED'!J31-'subtotal Board Designated'!J31</f>
        <v>329</v>
      </c>
      <c r="V31" s="177">
        <f>+'subtotal Board Designated'!J31</f>
        <v>5653</v>
      </c>
      <c r="W31" s="177">
        <f>+'TOTAL Temp Resticted'!J31</f>
        <v>12784</v>
      </c>
      <c r="X31" s="177">
        <f>+'Total Perm Restricted'!J31</f>
        <v>13463</v>
      </c>
      <c r="Y31" s="166">
        <f t="shared" si="25"/>
        <v>32229</v>
      </c>
      <c r="AA31" s="226">
        <f>+'TOTAL UNRESTRICTED'!K31-'subtotal Board Designated'!K31</f>
        <v>0</v>
      </c>
      <c r="AB31" s="207">
        <f>+'subtotal Board Designated'!K31</f>
        <v>0</v>
      </c>
      <c r="AC31" s="226">
        <f>+'TOTAL Temp Resticted'!K31</f>
        <v>0</v>
      </c>
      <c r="AD31" s="207">
        <f>+'Total Perm Restricted'!K31</f>
        <v>0</v>
      </c>
      <c r="AE31" s="207">
        <f t="shared" si="27"/>
        <v>0</v>
      </c>
      <c r="AG31" s="236">
        <f>+'TOTAL UNRESTRICTED'!L31-'subtotal Board Designated'!L31</f>
        <v>0</v>
      </c>
      <c r="AH31" s="216">
        <f>+'subtotal Board Designated'!L31</f>
        <v>0</v>
      </c>
      <c r="AI31" s="216">
        <f>+'TOTAL Temp Resticted'!L31</f>
        <v>0</v>
      </c>
      <c r="AJ31" s="216">
        <f>+'Total Perm Restricted'!L31</f>
        <v>0</v>
      </c>
      <c r="AK31" s="216">
        <f t="shared" si="28"/>
        <v>0</v>
      </c>
    </row>
    <row r="32" spans="1:37" x14ac:dyDescent="0.2">
      <c r="A32" s="1"/>
      <c r="B32" s="1"/>
      <c r="C32" s="1" t="s">
        <v>10</v>
      </c>
      <c r="D32" s="1"/>
      <c r="E32" s="31"/>
      <c r="F32" s="182">
        <f t="shared" ref="F32:G32" si="29">SUM(F28:F31)</f>
        <v>93000</v>
      </c>
      <c r="G32" s="161">
        <f t="shared" si="29"/>
        <v>56500</v>
      </c>
      <c r="I32" s="182">
        <f>SUM(I28:I31)</f>
        <v>-82302</v>
      </c>
      <c r="J32" s="160">
        <f t="shared" ref="J32:L32" si="30">SUM(J28:J31)</f>
        <v>32229</v>
      </c>
      <c r="K32" s="204">
        <f t="shared" si="30"/>
        <v>0.47999999999592546</v>
      </c>
      <c r="L32" s="213">
        <f t="shared" si="30"/>
        <v>0</v>
      </c>
      <c r="O32" s="182">
        <f>SUM(O29:O31)</f>
        <v>170808</v>
      </c>
      <c r="P32" s="182">
        <f t="shared" ref="P32:S32" si="31">SUM(P29:P31)</f>
        <v>-161086</v>
      </c>
      <c r="Q32" s="182">
        <f t="shared" si="31"/>
        <v>-54471</v>
      </c>
      <c r="R32" s="182">
        <f t="shared" si="31"/>
        <v>-37553</v>
      </c>
      <c r="S32" s="182">
        <f t="shared" si="31"/>
        <v>-82302</v>
      </c>
      <c r="U32" s="160">
        <f>SUM(U29:U31)</f>
        <v>27329</v>
      </c>
      <c r="V32" s="160">
        <f t="shared" ref="V32:Y32" si="32">SUM(V29:V31)</f>
        <v>-21347</v>
      </c>
      <c r="W32" s="160">
        <f t="shared" si="32"/>
        <v>12784</v>
      </c>
      <c r="X32" s="160">
        <f t="shared" si="32"/>
        <v>13463</v>
      </c>
      <c r="Y32" s="160">
        <f t="shared" si="32"/>
        <v>32229</v>
      </c>
      <c r="AA32" s="223">
        <f>SUM(AA29:AA31)</f>
        <v>103670.76999999999</v>
      </c>
      <c r="AB32" s="223">
        <f t="shared" ref="AB32:AE32" si="33">SUM(AB29:AB31)</f>
        <v>-38038.545999999995</v>
      </c>
      <c r="AC32" s="223">
        <f t="shared" si="33"/>
        <v>-65631.744000000006</v>
      </c>
      <c r="AD32" s="223">
        <f t="shared" si="33"/>
        <v>0</v>
      </c>
      <c r="AE32" s="223">
        <f t="shared" si="33"/>
        <v>0.47999999998137355</v>
      </c>
      <c r="AG32" s="233">
        <f>SUM(AG29:AG31)</f>
        <v>70304.785999999993</v>
      </c>
      <c r="AH32" s="233">
        <f t="shared" ref="AH32:AK32" si="34">SUM(AH29:AH31)</f>
        <v>-25929.786</v>
      </c>
      <c r="AI32" s="233">
        <f t="shared" si="34"/>
        <v>-44375</v>
      </c>
      <c r="AJ32" s="233">
        <f t="shared" si="34"/>
        <v>0</v>
      </c>
      <c r="AK32" s="233">
        <f t="shared" si="34"/>
        <v>-7.2759576141834259E-12</v>
      </c>
    </row>
    <row r="33" spans="1:37" ht="37" customHeight="1" x14ac:dyDescent="0.2">
      <c r="A33" s="1"/>
      <c r="B33" s="1"/>
      <c r="C33" s="1" t="s">
        <v>11</v>
      </c>
      <c r="D33" s="1"/>
      <c r="E33" s="31"/>
      <c r="F33" s="182"/>
      <c r="G33" s="161"/>
      <c r="I33" s="182"/>
      <c r="J33" s="160"/>
      <c r="K33" s="204"/>
      <c r="L33" s="213"/>
      <c r="O33" s="182"/>
      <c r="P33" s="183"/>
      <c r="Q33" s="183"/>
      <c r="R33" s="183"/>
      <c r="S33" s="183"/>
      <c r="U33" s="160"/>
      <c r="V33" s="161"/>
      <c r="W33" s="161"/>
      <c r="X33" s="161"/>
      <c r="Y33" s="161"/>
      <c r="AA33" s="223"/>
      <c r="AB33" s="204"/>
      <c r="AC33" s="204"/>
      <c r="AD33" s="204"/>
      <c r="AE33" s="204"/>
      <c r="AG33" s="233"/>
      <c r="AH33" s="213"/>
      <c r="AI33" s="213"/>
      <c r="AJ33" s="213"/>
      <c r="AK33" s="213"/>
    </row>
    <row r="34" spans="1:37" ht="16" thickBot="1" x14ac:dyDescent="0.25">
      <c r="A34" s="1"/>
      <c r="B34" s="1"/>
      <c r="C34" s="1"/>
      <c r="D34" s="41" t="s">
        <v>71</v>
      </c>
      <c r="E34" s="31"/>
      <c r="F34" s="182">
        <f>'Total Perm Restricted'!F34+'TOTAL Temp Resticted'!F34+'TOTAL UNRESTRICTED'!F34</f>
        <v>0</v>
      </c>
      <c r="G34" s="161">
        <f>'Total Perm Restricted'!G34+'TOTAL Temp Resticted'!G34+'TOTAL UNRESTRICTED'!G34</f>
        <v>0</v>
      </c>
      <c r="I34" s="182">
        <f>'Total Perm Restricted'!I34+'TOTAL Temp Resticted'!I34+'TOTAL UNRESTRICTED'!I34</f>
        <v>137</v>
      </c>
      <c r="J34" s="160">
        <f>'Total Perm Restricted'!J34+'TOTAL Temp Resticted'!J34+'TOTAL UNRESTRICTED'!J34</f>
        <v>0</v>
      </c>
      <c r="K34" s="204">
        <f>'Total Perm Restricted'!K34+'TOTAL Temp Resticted'!K34+'TOTAL UNRESTRICTED'!K34</f>
        <v>0</v>
      </c>
      <c r="L34" s="213">
        <f>'Total Perm Restricted'!L34+'TOTAL Temp Resticted'!L34+'TOTAL UNRESTRICTED'!L34</f>
        <v>0</v>
      </c>
      <c r="O34" s="182">
        <f>+'TOTAL UNRESTRICTED'!R34-'subtotal Board Designated'!R34</f>
        <v>0</v>
      </c>
      <c r="P34" s="183">
        <f>+'subtotal Board Designated'!R34</f>
        <v>0</v>
      </c>
      <c r="Q34" s="183">
        <f>+'TOTAL Temp Resticted'!R34</f>
        <v>0</v>
      </c>
      <c r="R34" s="183">
        <f>+'Total Perm Restricted'!R34</f>
        <v>0</v>
      </c>
      <c r="S34" s="183">
        <f t="shared" ref="S34" si="35">SUM(O34:R34)</f>
        <v>0</v>
      </c>
      <c r="U34" s="160">
        <f>+'TOTAL UNRESTRICTED'!X34-'subtotal Board Designated'!X34</f>
        <v>0</v>
      </c>
      <c r="V34" s="161">
        <f>+'subtotal Board Designated'!X34</f>
        <v>0</v>
      </c>
      <c r="W34" s="161">
        <f>+'TOTAL Temp Resticted'!X34</f>
        <v>0</v>
      </c>
      <c r="X34" s="161">
        <f>+'Total Perm Restricted'!X34</f>
        <v>0</v>
      </c>
      <c r="Y34" s="161">
        <f t="shared" ref="Y34" si="36">SUM(U34:X34)</f>
        <v>0</v>
      </c>
      <c r="AA34" s="223">
        <f>+'TOTAL UNRESTRICTED'!K34-'subtotal Board Designated'!K34</f>
        <v>0</v>
      </c>
      <c r="AB34" s="204">
        <f>+'subtotal Board Designated'!K34</f>
        <v>0</v>
      </c>
      <c r="AC34" s="204">
        <f>+'TOTAL Temp Resticted'!K34</f>
        <v>0</v>
      </c>
      <c r="AD34" s="204">
        <f>+'Total Perm Restricted'!K34</f>
        <v>0</v>
      </c>
      <c r="AE34" s="204">
        <f t="shared" si="27"/>
        <v>0</v>
      </c>
      <c r="AG34" s="233">
        <f>+'TOTAL UNRESTRICTED'!L34-'subtotal Board Designated'!L34</f>
        <v>0</v>
      </c>
      <c r="AH34" s="213">
        <f>+'subtotal Board Designated'!L34</f>
        <v>0</v>
      </c>
      <c r="AI34" s="213">
        <f>+'TOTAL Temp Resticted'!L34</f>
        <v>0</v>
      </c>
      <c r="AJ34" s="213">
        <f>+'Total Perm Restricted'!L34</f>
        <v>0</v>
      </c>
      <c r="AK34" s="213">
        <f t="shared" ref="AK34" si="37">SUM(AG34:AJ34)</f>
        <v>0</v>
      </c>
    </row>
    <row r="35" spans="1:37" ht="16" thickBot="1" x14ac:dyDescent="0.25">
      <c r="A35" s="1"/>
      <c r="B35" s="1"/>
      <c r="C35" s="1" t="s">
        <v>12</v>
      </c>
      <c r="D35" s="1"/>
      <c r="E35" s="31"/>
      <c r="F35" s="190">
        <f t="shared" ref="F35:G35" si="38">F34</f>
        <v>0</v>
      </c>
      <c r="G35" s="247">
        <f t="shared" si="38"/>
        <v>0</v>
      </c>
      <c r="I35" s="190">
        <f>I34</f>
        <v>137</v>
      </c>
      <c r="J35" s="167">
        <f t="shared" ref="J35:L35" si="39">J34</f>
        <v>0</v>
      </c>
      <c r="K35" s="208">
        <f t="shared" si="39"/>
        <v>0</v>
      </c>
      <c r="L35" s="217">
        <f t="shared" si="39"/>
        <v>0</v>
      </c>
      <c r="O35" s="190">
        <f t="shared" ref="O35:S35" si="40">O34</f>
        <v>0</v>
      </c>
      <c r="P35" s="190">
        <f t="shared" si="40"/>
        <v>0</v>
      </c>
      <c r="Q35" s="190">
        <f t="shared" si="40"/>
        <v>0</v>
      </c>
      <c r="R35" s="190">
        <f t="shared" si="40"/>
        <v>0</v>
      </c>
      <c r="S35" s="190">
        <f t="shared" si="40"/>
        <v>0</v>
      </c>
      <c r="U35" s="167">
        <f t="shared" ref="U35:Y35" si="41">U34</f>
        <v>0</v>
      </c>
      <c r="V35" s="167">
        <f t="shared" si="41"/>
        <v>0</v>
      </c>
      <c r="W35" s="167">
        <f t="shared" si="41"/>
        <v>0</v>
      </c>
      <c r="X35" s="167">
        <f t="shared" si="41"/>
        <v>0</v>
      </c>
      <c r="Y35" s="167">
        <f t="shared" si="41"/>
        <v>0</v>
      </c>
      <c r="AA35" s="227">
        <f t="shared" ref="AA35:AE35" si="42">AA34</f>
        <v>0</v>
      </c>
      <c r="AB35" s="227">
        <f t="shared" si="42"/>
        <v>0</v>
      </c>
      <c r="AC35" s="227">
        <f t="shared" si="42"/>
        <v>0</v>
      </c>
      <c r="AD35" s="227">
        <f t="shared" si="42"/>
        <v>0</v>
      </c>
      <c r="AE35" s="227">
        <f t="shared" si="42"/>
        <v>0</v>
      </c>
      <c r="AG35" s="237">
        <f t="shared" ref="AG35:AK35" si="43">AG34</f>
        <v>0</v>
      </c>
      <c r="AH35" s="237">
        <f t="shared" si="43"/>
        <v>0</v>
      </c>
      <c r="AI35" s="237">
        <f t="shared" si="43"/>
        <v>0</v>
      </c>
      <c r="AJ35" s="237">
        <f t="shared" si="43"/>
        <v>0</v>
      </c>
      <c r="AK35" s="237">
        <f t="shared" si="43"/>
        <v>0</v>
      </c>
    </row>
    <row r="36" spans="1:37" ht="30" customHeight="1" thickTop="1" thickBot="1" x14ac:dyDescent="0.25">
      <c r="A36" s="1"/>
      <c r="B36" s="1" t="s">
        <v>13</v>
      </c>
      <c r="C36" s="1"/>
      <c r="D36" s="1"/>
      <c r="E36" s="31"/>
      <c r="F36" s="190">
        <f t="shared" ref="F36:G36" si="44">F32-F35</f>
        <v>93000</v>
      </c>
      <c r="G36" s="247">
        <f t="shared" si="44"/>
        <v>56500</v>
      </c>
      <c r="I36" s="190">
        <f t="shared" ref="I36" si="45">I32-I35</f>
        <v>-82439</v>
      </c>
      <c r="J36" s="167">
        <f t="shared" ref="J36:L36" si="46">J32-J35</f>
        <v>32229</v>
      </c>
      <c r="K36" s="208">
        <f t="shared" si="46"/>
        <v>0.47999999999592546</v>
      </c>
      <c r="L36" s="217">
        <f t="shared" si="46"/>
        <v>0</v>
      </c>
      <c r="O36" s="190">
        <f t="shared" ref="O36:S36" si="47">O32-O35</f>
        <v>170808</v>
      </c>
      <c r="P36" s="190">
        <f t="shared" si="47"/>
        <v>-161086</v>
      </c>
      <c r="Q36" s="191">
        <f t="shared" si="47"/>
        <v>-54471</v>
      </c>
      <c r="R36" s="192">
        <f t="shared" si="47"/>
        <v>-37553</v>
      </c>
      <c r="S36" s="193">
        <f t="shared" si="47"/>
        <v>-82302</v>
      </c>
      <c r="U36" s="167">
        <f t="shared" ref="U36:Y36" si="48">U32-U35</f>
        <v>27329</v>
      </c>
      <c r="V36" s="167">
        <f t="shared" si="48"/>
        <v>-21347</v>
      </c>
      <c r="W36" s="168">
        <f t="shared" si="48"/>
        <v>12784</v>
      </c>
      <c r="X36" s="169">
        <f t="shared" si="48"/>
        <v>13463</v>
      </c>
      <c r="Y36" s="170">
        <f t="shared" si="48"/>
        <v>32229</v>
      </c>
      <c r="AA36" s="227">
        <f t="shared" ref="AA36:AE36" si="49">AA32-AA35</f>
        <v>103670.76999999999</v>
      </c>
      <c r="AB36" s="227">
        <f t="shared" si="49"/>
        <v>-38038.545999999995</v>
      </c>
      <c r="AC36" s="227">
        <f t="shared" si="49"/>
        <v>-65631.744000000006</v>
      </c>
      <c r="AD36" s="227">
        <f t="shared" si="49"/>
        <v>0</v>
      </c>
      <c r="AE36" s="227">
        <f t="shared" si="49"/>
        <v>0.47999999998137355</v>
      </c>
      <c r="AG36" s="237">
        <f t="shared" ref="AG36:AK36" si="50">AG32-AG35</f>
        <v>70304.785999999993</v>
      </c>
      <c r="AH36" s="237">
        <f t="shared" si="50"/>
        <v>-25929.786</v>
      </c>
      <c r="AI36" s="238">
        <f t="shared" si="50"/>
        <v>-44375</v>
      </c>
      <c r="AJ36" s="239">
        <f t="shared" si="50"/>
        <v>0</v>
      </c>
      <c r="AK36" s="240">
        <f t="shared" si="50"/>
        <v>-7.2759576141834259E-12</v>
      </c>
    </row>
    <row r="37" spans="1:37" s="4" customFormat="1" ht="33" customHeight="1" thickBot="1" x14ac:dyDescent="0.2">
      <c r="A37" s="42" t="s">
        <v>3</v>
      </c>
      <c r="B37" s="1"/>
      <c r="C37" s="1"/>
      <c r="D37" s="1"/>
      <c r="E37" s="31"/>
      <c r="F37" s="194">
        <f t="shared" ref="F37:G37" si="51">F36+F26</f>
        <v>165</v>
      </c>
      <c r="G37" s="248">
        <f t="shared" si="51"/>
        <v>1231</v>
      </c>
      <c r="I37" s="194">
        <f t="shared" ref="I37" si="52">I36+I26</f>
        <v>-143778</v>
      </c>
      <c r="J37" s="171">
        <f t="shared" ref="J37:L37" si="53">J36+J26</f>
        <v>-4576.1300000000047</v>
      </c>
      <c r="K37" s="209">
        <f t="shared" si="53"/>
        <v>-64076.856000000014</v>
      </c>
      <c r="L37" s="218">
        <f t="shared" si="53"/>
        <v>-19103</v>
      </c>
      <c r="O37" s="194">
        <f t="shared" ref="O37:S37" si="54">O36+O26</f>
        <v>41667</v>
      </c>
      <c r="P37" s="194">
        <f t="shared" si="54"/>
        <v>-127368</v>
      </c>
      <c r="Q37" s="195">
        <f t="shared" si="54"/>
        <v>-19817</v>
      </c>
      <c r="R37" s="196">
        <f t="shared" si="54"/>
        <v>-38123</v>
      </c>
      <c r="S37" s="197">
        <f t="shared" si="54"/>
        <v>-143641</v>
      </c>
      <c r="U37" s="171">
        <f t="shared" ref="U37:Y37" si="55">U36+U26</f>
        <v>-53052.97</v>
      </c>
      <c r="V37" s="171">
        <f t="shared" si="55"/>
        <v>-11258.7</v>
      </c>
      <c r="W37" s="172">
        <f t="shared" si="55"/>
        <v>46272.54</v>
      </c>
      <c r="X37" s="173">
        <f t="shared" si="55"/>
        <v>13463</v>
      </c>
      <c r="Y37" s="174">
        <f t="shared" si="55"/>
        <v>-4576.1300000000047</v>
      </c>
      <c r="AA37" s="228">
        <f t="shared" ref="AA37:AD37" si="56">AA36+AA26</f>
        <v>-455.51000000000931</v>
      </c>
      <c r="AB37" s="228">
        <f t="shared" si="56"/>
        <v>-29606.785999999993</v>
      </c>
      <c r="AC37" s="228">
        <f t="shared" si="56"/>
        <v>-34014.560000000012</v>
      </c>
      <c r="AD37" s="228">
        <f t="shared" si="56"/>
        <v>0</v>
      </c>
      <c r="AE37" s="228">
        <f>AE36+AE26</f>
        <v>-64076.856000000029</v>
      </c>
      <c r="AG37" s="241">
        <f t="shared" ref="AG37:AK37" si="57">AG36+AG26</f>
        <v>11026.785999999993</v>
      </c>
      <c r="AH37" s="241">
        <f t="shared" si="57"/>
        <v>-17529.786</v>
      </c>
      <c r="AI37" s="242">
        <f t="shared" si="57"/>
        <v>-12600</v>
      </c>
      <c r="AJ37" s="243">
        <f t="shared" si="57"/>
        <v>0</v>
      </c>
      <c r="AK37" s="244">
        <f t="shared" si="57"/>
        <v>-19103.000000000007</v>
      </c>
    </row>
    <row r="38" spans="1:37" ht="28.5" customHeight="1" thickTop="1" thickBot="1" x14ac:dyDescent="0.25">
      <c r="E38" s="33"/>
      <c r="F38" s="198"/>
      <c r="G38" s="176"/>
      <c r="I38" s="198"/>
      <c r="J38" s="175"/>
      <c r="K38" s="210"/>
      <c r="L38" s="219"/>
      <c r="O38" s="198"/>
      <c r="P38" s="199"/>
      <c r="Q38" s="199"/>
      <c r="R38" s="199"/>
      <c r="S38" s="199"/>
      <c r="U38" s="175"/>
      <c r="V38" s="176"/>
      <c r="W38" s="176"/>
      <c r="X38" s="176"/>
      <c r="Y38" s="176"/>
      <c r="AA38" s="229"/>
      <c r="AB38" s="210"/>
      <c r="AC38" s="210"/>
      <c r="AD38" s="210"/>
      <c r="AE38" s="210"/>
      <c r="AG38" s="245"/>
      <c r="AH38" s="219"/>
      <c r="AI38" s="219"/>
      <c r="AJ38" s="219"/>
      <c r="AK38" s="219"/>
    </row>
    <row r="39" spans="1:37" ht="28" customHeight="1" thickTop="1" x14ac:dyDescent="0.2"/>
    <row r="40" spans="1:37" x14ac:dyDescent="0.2">
      <c r="H40" s="118" t="s">
        <v>111</v>
      </c>
      <c r="I40" s="120">
        <f>I4+I37</f>
        <v>1703723</v>
      </c>
      <c r="J40" s="120">
        <f>J4+J37</f>
        <v>1696999.87</v>
      </c>
      <c r="K40" s="120">
        <f>K4+K37</f>
        <v>1632923.0140000002</v>
      </c>
      <c r="L40" s="120">
        <f>L4+L37</f>
        <v>1613820.0140000002</v>
      </c>
    </row>
    <row r="42" spans="1:37" x14ac:dyDescent="0.2">
      <c r="AD42" s="55"/>
    </row>
  </sheetData>
  <phoneticPr fontId="47" type="noConversion"/>
  <printOptions horizontalCentered="1" verticalCentered="1" headings="1"/>
  <pageMargins left="0.25" right="0.25" top="0.75" bottom="0.75" header="0.3" footer="0.3"/>
  <pageSetup scale="69" orientation="landscape" blackAndWhite="1" horizontalDpi="4294967293" r:id="rId1"/>
  <headerFooter>
    <oddHeader>&amp;C&amp;"Calibri Bold,Bold"&amp;22&amp;K000000FWCC / CMCA Americas — Budget Recommendation / Recomendaciones presupuestarias</oddHeader>
    <oddFooter>&amp;R&amp;"Calibri Italic,Italic"&amp;12 &amp;K00000027 Feb/feb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activeCell="I16" sqref="I16"/>
      <selection pane="topRight" activeCell="I16" sqref="I16"/>
      <selection pane="bottomLeft" activeCell="I16" sqref="I16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66"/>
      <c r="F2" s="19"/>
      <c r="H2" s="59"/>
      <c r="I2" s="19"/>
    </row>
    <row r="3" spans="1:13" ht="18" x14ac:dyDescent="0.2">
      <c r="A3" s="1"/>
      <c r="B3" s="1"/>
      <c r="C3" s="1"/>
      <c r="D3" s="1"/>
      <c r="E3" s="78" t="s">
        <v>42</v>
      </c>
      <c r="F3" s="290"/>
      <c r="G3" s="290"/>
      <c r="H3" s="59"/>
      <c r="I3" s="21"/>
      <c r="J3" s="59"/>
      <c r="K3" s="59"/>
      <c r="L3" s="59"/>
    </row>
    <row r="4" spans="1:13" ht="18" x14ac:dyDescent="0.2">
      <c r="A4" s="1"/>
      <c r="B4" s="1"/>
      <c r="C4" s="1"/>
      <c r="D4" s="1"/>
      <c r="E4" s="78"/>
      <c r="F4" s="113"/>
      <c r="G4" s="113"/>
      <c r="H4" s="118"/>
      <c r="I4" s="21"/>
      <c r="J4" s="59"/>
      <c r="K4" s="59"/>
      <c r="L4" s="59"/>
    </row>
    <row r="5" spans="1:13" ht="16" thickBot="1" x14ac:dyDescent="0.25">
      <c r="A5" s="1"/>
      <c r="B5" s="1"/>
      <c r="C5" s="1"/>
      <c r="D5" s="1"/>
      <c r="E5" s="116"/>
      <c r="F5" s="60"/>
      <c r="G5" s="60"/>
      <c r="I5" s="60"/>
      <c r="J5" s="60"/>
      <c r="K5" s="60"/>
      <c r="L5" s="60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>
        <v>205000</v>
      </c>
      <c r="G9" s="13">
        <v>214500</v>
      </c>
      <c r="H9" s="62"/>
      <c r="I9" s="96">
        <v>191870</v>
      </c>
      <c r="J9" s="47">
        <v>170441</v>
      </c>
      <c r="K9" s="35">
        <v>205000</v>
      </c>
      <c r="L9" s="13">
        <v>215000</v>
      </c>
    </row>
    <row r="10" spans="1:13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96"/>
      <c r="J10" s="47"/>
      <c r="K10" s="35"/>
      <c r="L10" s="13"/>
    </row>
    <row r="11" spans="1:13" x14ac:dyDescent="0.2">
      <c r="A11" s="1"/>
      <c r="B11" s="1"/>
      <c r="C11" s="1"/>
      <c r="D11" s="1"/>
      <c r="E11" s="43" t="s">
        <v>58</v>
      </c>
      <c r="F11" s="12">
        <v>5000</v>
      </c>
      <c r="G11" s="13">
        <v>7000</v>
      </c>
      <c r="H11" s="62"/>
      <c r="I11" s="96">
        <v>10064</v>
      </c>
      <c r="J11" s="47">
        <v>5662</v>
      </c>
      <c r="K11" s="35">
        <v>7500</v>
      </c>
      <c r="L11" s="13">
        <v>7500</v>
      </c>
      <c r="M11" s="2" t="s">
        <v>88</v>
      </c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96"/>
      <c r="J12" s="47"/>
      <c r="K12" s="13"/>
      <c r="L12" s="13"/>
    </row>
    <row r="13" spans="1:13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97">
        <v>314</v>
      </c>
      <c r="J13" s="47">
        <v>657</v>
      </c>
      <c r="K13" s="13">
        <v>577.16</v>
      </c>
      <c r="L13" s="13">
        <v>575</v>
      </c>
      <c r="M13" s="2" t="s">
        <v>89</v>
      </c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210000</v>
      </c>
      <c r="G14" s="8">
        <f>SUM(G9:G13)</f>
        <v>221500</v>
      </c>
      <c r="H14" s="62"/>
      <c r="I14" s="8">
        <f>SUM(I9:I13)</f>
        <v>202248</v>
      </c>
      <c r="J14" s="49">
        <f>SUM(J9:J13)</f>
        <v>176760</v>
      </c>
      <c r="K14" s="8">
        <f>SUM(K9:K13)</f>
        <v>213077.16</v>
      </c>
      <c r="L14" s="8">
        <f>SUM(L9:L13)</f>
        <v>223075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>
        <v>30000</v>
      </c>
      <c r="G16" s="13">
        <v>37033</v>
      </c>
      <c r="H16" s="62"/>
      <c r="I16" s="96">
        <v>33389</v>
      </c>
      <c r="J16" s="48">
        <v>25963</v>
      </c>
      <c r="K16" s="35">
        <v>30783</v>
      </c>
      <c r="L16" s="35">
        <v>28791</v>
      </c>
    </row>
    <row r="17" spans="1:13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96">
        <v>764</v>
      </c>
      <c r="J17" s="48">
        <v>775</v>
      </c>
      <c r="K17" s="35">
        <v>1300</v>
      </c>
      <c r="L17" s="35">
        <v>1000</v>
      </c>
      <c r="M17" s="2" t="s">
        <v>81</v>
      </c>
    </row>
    <row r="18" spans="1:13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96">
        <v>678</v>
      </c>
      <c r="J18" s="48">
        <v>0</v>
      </c>
      <c r="K18" s="35">
        <v>1000</v>
      </c>
      <c r="L18" s="35">
        <v>1000</v>
      </c>
      <c r="M18" s="2" t="s">
        <v>77</v>
      </c>
    </row>
    <row r="19" spans="1:13" x14ac:dyDescent="0.2">
      <c r="A19" s="1"/>
      <c r="B19" s="1"/>
      <c r="C19" s="1"/>
      <c r="D19" s="1"/>
      <c r="E19" s="43" t="s">
        <v>64</v>
      </c>
      <c r="F19" s="12">
        <v>1000</v>
      </c>
      <c r="G19" s="13">
        <v>1000</v>
      </c>
      <c r="H19" s="62"/>
      <c r="I19" s="96">
        <v>1210</v>
      </c>
      <c r="J19" s="48">
        <v>1990</v>
      </c>
      <c r="K19" s="35">
        <f>2000+(1200*3)</f>
        <v>5600</v>
      </c>
      <c r="L19" s="35">
        <v>2000</v>
      </c>
      <c r="M19" s="2" t="s">
        <v>84</v>
      </c>
    </row>
    <row r="20" spans="1:13" x14ac:dyDescent="0.2">
      <c r="A20" s="1"/>
      <c r="B20" s="1"/>
      <c r="C20" s="1"/>
      <c r="D20" s="1"/>
      <c r="E20" s="43" t="s">
        <v>65</v>
      </c>
      <c r="F20" s="12">
        <v>13000</v>
      </c>
      <c r="G20" s="13">
        <v>13000</v>
      </c>
      <c r="H20" s="62"/>
      <c r="I20" s="96">
        <v>15794</v>
      </c>
      <c r="J20" s="48">
        <v>12415</v>
      </c>
      <c r="K20" s="35">
        <f>4400 + 12000 + 2000</f>
        <v>18400</v>
      </c>
      <c r="L20" s="35">
        <f>4300 + 12000</f>
        <v>16300</v>
      </c>
      <c r="M20" s="2" t="s">
        <v>83</v>
      </c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96"/>
      <c r="J21" s="48">
        <v>0</v>
      </c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96"/>
      <c r="J22" s="48">
        <v>0</v>
      </c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34">
        <v>1000</v>
      </c>
      <c r="G23" s="35">
        <v>1000</v>
      </c>
      <c r="H23" s="71"/>
      <c r="I23" s="97">
        <v>1007</v>
      </c>
      <c r="J23" s="48">
        <v>745</v>
      </c>
      <c r="K23" s="35"/>
      <c r="L23" s="35"/>
      <c r="M23" s="2" t="s">
        <v>78</v>
      </c>
    </row>
    <row r="24" spans="1:13" ht="16" thickBot="1" x14ac:dyDescent="0.25">
      <c r="A24" s="1"/>
      <c r="B24" s="1"/>
      <c r="C24" s="1"/>
      <c r="D24" s="1"/>
      <c r="E24" s="43" t="s">
        <v>14</v>
      </c>
      <c r="F24" s="34"/>
      <c r="G24" s="35"/>
      <c r="H24" s="71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45000</v>
      </c>
      <c r="G25" s="8">
        <f>SUM(G16:G24)</f>
        <v>52033</v>
      </c>
      <c r="H25" s="62"/>
      <c r="I25" s="13">
        <f>SUM(I16:I24)</f>
        <v>52842</v>
      </c>
      <c r="J25" s="49">
        <f>SUM(J16:J24)</f>
        <v>41888</v>
      </c>
      <c r="K25" s="8">
        <f>SUM(K16:K24)</f>
        <v>57083</v>
      </c>
      <c r="L25" s="8">
        <f>SUM(L16:L24)</f>
        <v>49091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165000</v>
      </c>
      <c r="G26" s="10">
        <f t="shared" si="0"/>
        <v>169467</v>
      </c>
      <c r="H26" s="70"/>
      <c r="I26" s="10">
        <f t="shared" ref="I26" si="1">I14-I25</f>
        <v>149406</v>
      </c>
      <c r="J26" s="50">
        <f t="shared" ref="J26:K26" si="2">J14-J25</f>
        <v>134872</v>
      </c>
      <c r="K26" s="10">
        <f t="shared" si="2"/>
        <v>155994.16</v>
      </c>
      <c r="L26" s="10">
        <f t="shared" ref="L26" si="3">L14-L25</f>
        <v>173984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81</v>
      </c>
      <c r="J29" s="48"/>
      <c r="K29" s="35">
        <v>6100</v>
      </c>
      <c r="L29" s="35">
        <v>2500</v>
      </c>
      <c r="M29" s="2" t="s">
        <v>177</v>
      </c>
    </row>
    <row r="30" spans="1:13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>
        <v>-931</v>
      </c>
      <c r="J31" s="56">
        <v>329</v>
      </c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-850</v>
      </c>
      <c r="J32" s="47">
        <f t="shared" ref="J32:K32" si="5">SUM(J28:J31)</f>
        <v>329</v>
      </c>
      <c r="K32" s="13">
        <f t="shared" si="5"/>
        <v>6100</v>
      </c>
      <c r="L32" s="13">
        <f t="shared" ref="L32" si="6">SUM(L28:L31)</f>
        <v>2500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-850</v>
      </c>
      <c r="J36" s="51">
        <f t="shared" ref="J36:K36" si="13">J32-J35</f>
        <v>329</v>
      </c>
      <c r="K36" s="14">
        <f t="shared" si="13"/>
        <v>6100</v>
      </c>
      <c r="L36" s="14">
        <f t="shared" ref="L36" si="14">L32-L35</f>
        <v>2500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165000</v>
      </c>
      <c r="G37" s="16">
        <f t="shared" si="15"/>
        <v>169467</v>
      </c>
      <c r="I37" s="52">
        <f t="shared" ref="I37" si="16">I36+I26</f>
        <v>148556</v>
      </c>
      <c r="J37" s="52">
        <f t="shared" ref="J37:K37" si="17">J36+J26</f>
        <v>135201</v>
      </c>
      <c r="K37" s="16">
        <f t="shared" si="17"/>
        <v>162094.16</v>
      </c>
      <c r="L37" s="16">
        <f t="shared" ref="L37" si="18">L36+L26</f>
        <v>176484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/>
    </row>
  </sheetData>
  <mergeCells count="1">
    <mergeCell ref="F3:G3"/>
  </mergeCells>
  <pageMargins left="0.25" right="0.25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66"/>
      <c r="F2" s="19"/>
      <c r="H2" s="59"/>
      <c r="I2" s="19"/>
      <c r="M2" s="59"/>
    </row>
    <row r="3" spans="1:13" ht="18" x14ac:dyDescent="0.2">
      <c r="A3" s="1"/>
      <c r="B3" s="1"/>
      <c r="C3" s="1"/>
      <c r="D3" s="1"/>
      <c r="E3" s="78" t="s">
        <v>41</v>
      </c>
      <c r="F3" s="130"/>
      <c r="G3" s="130"/>
      <c r="H3" s="59"/>
      <c r="I3" s="21"/>
      <c r="J3" s="59"/>
      <c r="K3" s="59"/>
      <c r="L3" s="59"/>
      <c r="M3" s="59"/>
    </row>
    <row r="4" spans="1:13" ht="18" x14ac:dyDescent="0.2">
      <c r="A4" s="1"/>
      <c r="B4" s="1"/>
      <c r="C4" s="1"/>
      <c r="D4" s="1"/>
      <c r="E4" s="78"/>
      <c r="F4" s="112"/>
      <c r="G4" s="112"/>
      <c r="H4" s="117"/>
      <c r="I4" s="21"/>
      <c r="J4" s="59"/>
      <c r="K4" s="59"/>
      <c r="L4" s="59"/>
      <c r="M4" s="59"/>
    </row>
    <row r="5" spans="1:13" ht="16" thickBot="1" x14ac:dyDescent="0.25">
      <c r="A5" s="1"/>
      <c r="B5" s="1"/>
      <c r="C5" s="1"/>
      <c r="D5" s="1"/>
      <c r="E5" s="66"/>
      <c r="F5" s="90"/>
      <c r="G5" s="60"/>
      <c r="H5" s="59"/>
      <c r="I5" s="60"/>
      <c r="J5" s="60"/>
      <c r="K5" s="60"/>
      <c r="L5" s="60"/>
      <c r="M5" s="59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/>
      <c r="G9" s="13"/>
      <c r="H9" s="62"/>
      <c r="I9" s="99"/>
      <c r="J9" s="47"/>
      <c r="K9" s="13"/>
      <c r="L9" s="13"/>
    </row>
    <row r="10" spans="1:13" x14ac:dyDescent="0.2">
      <c r="A10" s="1"/>
      <c r="B10" s="1"/>
      <c r="C10" s="1"/>
      <c r="D10" s="1"/>
      <c r="E10" s="128" t="s">
        <v>56</v>
      </c>
      <c r="F10" s="12"/>
      <c r="G10" s="13"/>
      <c r="H10" s="62"/>
      <c r="I10" s="99"/>
      <c r="J10" s="47"/>
      <c r="K10" s="13"/>
      <c r="L10" s="13"/>
    </row>
    <row r="11" spans="1:13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99"/>
      <c r="J11" s="47"/>
      <c r="K11" s="13"/>
      <c r="L11" s="13"/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99">
        <v>14</v>
      </c>
      <c r="J12" s="47">
        <v>1085</v>
      </c>
      <c r="K12" s="35">
        <v>500</v>
      </c>
      <c r="L12" s="13">
        <v>500</v>
      </c>
      <c r="M12" s="2" t="s">
        <v>80</v>
      </c>
    </row>
    <row r="13" spans="1:13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00"/>
      <c r="J13" s="47"/>
      <c r="K13" s="13"/>
      <c r="L13" s="13"/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0</v>
      </c>
      <c r="G14" s="8">
        <f>SUM(G9:G13)</f>
        <v>0</v>
      </c>
      <c r="H14" s="62"/>
      <c r="I14" s="8">
        <f>SUM(I9:I13)</f>
        <v>14</v>
      </c>
      <c r="J14" s="49">
        <f>SUM(J9:J13)</f>
        <v>1085</v>
      </c>
      <c r="K14" s="8">
        <f>SUM(K9:K13)</f>
        <v>500</v>
      </c>
      <c r="L14" s="8">
        <f>SUM(L9:L13)</f>
        <v>500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>
        <v>12000</v>
      </c>
      <c r="G16" s="13">
        <v>1763</v>
      </c>
      <c r="H16" s="62"/>
      <c r="I16" s="13">
        <v>4905</v>
      </c>
      <c r="J16" s="48">
        <v>1326</v>
      </c>
      <c r="K16" s="35">
        <v>1399</v>
      </c>
      <c r="L16" s="35">
        <v>1440</v>
      </c>
    </row>
    <row r="17" spans="1:17" x14ac:dyDescent="0.2">
      <c r="A17" s="1"/>
      <c r="B17" s="1"/>
      <c r="C17" s="1"/>
      <c r="D17" s="1"/>
      <c r="E17" s="43" t="s">
        <v>62</v>
      </c>
      <c r="F17" s="12"/>
      <c r="G17" s="13"/>
      <c r="H17" s="62"/>
      <c r="I17" s="13">
        <v>88</v>
      </c>
      <c r="J17" s="48">
        <v>57</v>
      </c>
      <c r="K17" s="35">
        <v>100</v>
      </c>
      <c r="L17" s="35">
        <v>100</v>
      </c>
      <c r="M17" s="2" t="s">
        <v>85</v>
      </c>
    </row>
    <row r="18" spans="1:17" x14ac:dyDescent="0.2">
      <c r="A18" s="1"/>
      <c r="B18" s="1"/>
      <c r="C18" s="1"/>
      <c r="D18" s="1"/>
      <c r="E18" s="43" t="s">
        <v>63</v>
      </c>
      <c r="F18" s="12"/>
      <c r="G18" s="13"/>
      <c r="H18" s="62"/>
      <c r="I18" s="13">
        <v>0</v>
      </c>
      <c r="J18" s="48">
        <v>0</v>
      </c>
      <c r="K18" s="35"/>
      <c r="L18" s="35"/>
    </row>
    <row r="19" spans="1:17" x14ac:dyDescent="0.2">
      <c r="A19" s="1"/>
      <c r="B19" s="1"/>
      <c r="C19" s="1"/>
      <c r="D19" s="1"/>
      <c r="E19" s="43" t="s">
        <v>64</v>
      </c>
      <c r="F19" s="12"/>
      <c r="G19" s="13"/>
      <c r="H19" s="62"/>
      <c r="I19" s="13">
        <v>2041</v>
      </c>
      <c r="J19" s="48">
        <v>1002</v>
      </c>
      <c r="K19" s="35">
        <v>1500</v>
      </c>
      <c r="L19" s="35">
        <v>1500</v>
      </c>
      <c r="M19" s="2" t="s">
        <v>73</v>
      </c>
    </row>
    <row r="20" spans="1:17" ht="16" x14ac:dyDescent="0.2">
      <c r="A20" s="1"/>
      <c r="B20" s="1"/>
      <c r="C20" s="1"/>
      <c r="D20" s="1"/>
      <c r="E20" s="43" t="s">
        <v>65</v>
      </c>
      <c r="F20" s="12"/>
      <c r="G20" s="13"/>
      <c r="H20" s="62"/>
      <c r="I20" s="13">
        <v>602</v>
      </c>
      <c r="J20" s="48">
        <v>171</v>
      </c>
      <c r="K20" s="35">
        <v>200</v>
      </c>
      <c r="L20" s="35">
        <v>215</v>
      </c>
      <c r="P20" s="303"/>
      <c r="Q20" s="303"/>
    </row>
    <row r="21" spans="1:17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>
        <v>0</v>
      </c>
      <c r="J21" s="48">
        <v>0</v>
      </c>
      <c r="K21" s="35"/>
      <c r="L21" s="35"/>
      <c r="P21" s="304"/>
      <c r="Q21" s="304"/>
    </row>
    <row r="22" spans="1:17" x14ac:dyDescent="0.2">
      <c r="A22" s="1"/>
      <c r="B22" s="1"/>
      <c r="C22" s="1"/>
      <c r="D22" s="1"/>
      <c r="E22" s="43" t="s">
        <v>67</v>
      </c>
      <c r="F22" s="34">
        <v>69585</v>
      </c>
      <c r="G22" s="35">
        <v>57107</v>
      </c>
      <c r="H22" s="91"/>
      <c r="I22" s="13">
        <v>69585</v>
      </c>
      <c r="J22" s="48">
        <v>57107</v>
      </c>
      <c r="K22" s="35">
        <v>56547</v>
      </c>
      <c r="L22" s="35">
        <v>57000</v>
      </c>
      <c r="M22" s="2" t="s">
        <v>79</v>
      </c>
    </row>
    <row r="23" spans="1:17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>
        <v>0</v>
      </c>
      <c r="J23" s="48">
        <v>0</v>
      </c>
      <c r="K23" s="35"/>
      <c r="L23" s="35"/>
      <c r="M23" s="115" t="s">
        <v>124</v>
      </c>
    </row>
    <row r="24" spans="1:17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  <c r="M24" s="115" t="s">
        <v>125</v>
      </c>
    </row>
    <row r="25" spans="1:17" ht="16" thickBot="1" x14ac:dyDescent="0.25">
      <c r="A25" s="1"/>
      <c r="B25" s="1"/>
      <c r="C25" s="1"/>
      <c r="D25" s="1" t="s">
        <v>7</v>
      </c>
      <c r="E25" s="31"/>
      <c r="F25" s="7">
        <f>SUM(F16:F24)</f>
        <v>81585</v>
      </c>
      <c r="G25" s="8">
        <f>SUM(G16:G24)</f>
        <v>58870</v>
      </c>
      <c r="H25" s="62"/>
      <c r="I25" s="13">
        <f>SUM(I16:I24)</f>
        <v>77221</v>
      </c>
      <c r="J25" s="49">
        <f>SUM(J16:J24)</f>
        <v>59663</v>
      </c>
      <c r="K25" s="8">
        <f>SUM(K16:K24)</f>
        <v>59746</v>
      </c>
      <c r="L25" s="8">
        <f>SUM(L16:L24)</f>
        <v>60255</v>
      </c>
    </row>
    <row r="26" spans="1:17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-81585</v>
      </c>
      <c r="G26" s="10">
        <f t="shared" si="0"/>
        <v>-58870</v>
      </c>
      <c r="H26" s="70"/>
      <c r="I26" s="10">
        <f t="shared" ref="I26" si="1">I14-I25</f>
        <v>-77207</v>
      </c>
      <c r="J26" s="50">
        <f t="shared" ref="J26:K26" si="2">J14-J25</f>
        <v>-58578</v>
      </c>
      <c r="K26" s="10">
        <f t="shared" si="2"/>
        <v>-59246</v>
      </c>
      <c r="L26" s="10">
        <f t="shared" ref="L26" si="3">L14-L25</f>
        <v>-59755</v>
      </c>
    </row>
    <row r="27" spans="1:17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7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7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12041</v>
      </c>
      <c r="J29" s="48"/>
      <c r="K29" s="35"/>
      <c r="L29" s="35"/>
    </row>
    <row r="30" spans="1:17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7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7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12041</v>
      </c>
      <c r="J32" s="47">
        <f t="shared" ref="J32:K32" si="5">SUM(J28:J31)</f>
        <v>0</v>
      </c>
      <c r="K32" s="13">
        <f t="shared" si="5"/>
        <v>0</v>
      </c>
      <c r="L32" s="13">
        <f t="shared" ref="L32" si="6">SUM(L28:L31)</f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12041</v>
      </c>
      <c r="J36" s="51">
        <f t="shared" ref="J36:K36" si="13">J32-J35</f>
        <v>0</v>
      </c>
      <c r="K36" s="14">
        <f t="shared" si="13"/>
        <v>0</v>
      </c>
      <c r="L36" s="14">
        <f t="shared" ref="L36" si="14">L32-L35</f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-81585</v>
      </c>
      <c r="G37" s="16">
        <f t="shared" si="15"/>
        <v>-58870</v>
      </c>
      <c r="I37" s="52">
        <f t="shared" ref="I37" si="16">I36+I26</f>
        <v>-65166</v>
      </c>
      <c r="J37" s="52">
        <f t="shared" ref="J37:K37" si="17">J36+J26</f>
        <v>-58578</v>
      </c>
      <c r="K37" s="16">
        <f t="shared" si="17"/>
        <v>-59246</v>
      </c>
      <c r="L37" s="16">
        <f t="shared" ref="L37" si="18">L36+L26</f>
        <v>-59755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/>
    </row>
  </sheetData>
  <pageMargins left="0.25" right="0.25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3" ht="16" x14ac:dyDescent="0.2">
      <c r="A1" s="17" t="s">
        <v>15</v>
      </c>
      <c r="B1" s="1"/>
      <c r="C1" s="1"/>
      <c r="D1" s="1"/>
      <c r="E1" s="1"/>
      <c r="I1" s="40"/>
    </row>
    <row r="2" spans="1:13" x14ac:dyDescent="0.2">
      <c r="A2" s="20"/>
      <c r="B2" s="1"/>
      <c r="C2" s="1"/>
      <c r="D2" s="1"/>
      <c r="E2" s="1"/>
      <c r="I2" s="19"/>
    </row>
    <row r="3" spans="1:13" ht="18" x14ac:dyDescent="0.2">
      <c r="A3" s="1"/>
      <c r="B3" s="1"/>
      <c r="C3" s="1"/>
      <c r="D3" s="1"/>
      <c r="E3" s="78" t="s">
        <v>40</v>
      </c>
      <c r="F3" s="290"/>
      <c r="G3" s="290"/>
      <c r="H3" s="59"/>
      <c r="I3" s="21"/>
      <c r="J3" s="59"/>
      <c r="K3" s="59"/>
      <c r="L3" s="59"/>
    </row>
    <row r="4" spans="1:13" ht="18" x14ac:dyDescent="0.2">
      <c r="A4" s="1"/>
      <c r="B4" s="1"/>
      <c r="C4" s="1"/>
      <c r="D4" s="1"/>
      <c r="E4" s="78"/>
      <c r="F4" s="113"/>
      <c r="G4" s="113"/>
      <c r="H4" s="118"/>
      <c r="I4" s="21"/>
      <c r="J4" s="59"/>
      <c r="K4" s="59"/>
      <c r="L4" s="59"/>
    </row>
    <row r="5" spans="1:13" ht="16" thickBot="1" x14ac:dyDescent="0.25">
      <c r="A5" s="1"/>
      <c r="B5" s="1"/>
      <c r="C5" s="1"/>
      <c r="D5" s="1"/>
      <c r="E5" s="66"/>
      <c r="F5" s="131"/>
      <c r="G5" s="131"/>
      <c r="H5" s="59"/>
      <c r="I5" s="60"/>
      <c r="J5" s="82"/>
      <c r="K5" s="82"/>
      <c r="L5" s="82"/>
    </row>
    <row r="6" spans="1:13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3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3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3" x14ac:dyDescent="0.2">
      <c r="A9" s="1"/>
      <c r="B9" s="1"/>
      <c r="C9" s="1"/>
      <c r="D9" s="1"/>
      <c r="E9" s="128" t="s">
        <v>57</v>
      </c>
      <c r="F9" s="12">
        <v>5000</v>
      </c>
      <c r="G9" s="35">
        <v>10000</v>
      </c>
      <c r="H9" s="62"/>
      <c r="I9" s="69">
        <v>3508</v>
      </c>
      <c r="J9" s="48">
        <v>3421</v>
      </c>
      <c r="K9" s="35">
        <v>3500</v>
      </c>
      <c r="L9" s="35">
        <v>10000</v>
      </c>
      <c r="M9" s="2" t="s">
        <v>121</v>
      </c>
    </row>
    <row r="10" spans="1:13" x14ac:dyDescent="0.2">
      <c r="A10" s="1"/>
      <c r="B10" s="1"/>
      <c r="C10" s="1"/>
      <c r="D10" s="1"/>
      <c r="E10" s="128" t="s">
        <v>56</v>
      </c>
      <c r="F10" s="12"/>
      <c r="G10" s="35">
        <v>45000</v>
      </c>
      <c r="H10" s="62"/>
      <c r="I10" s="69"/>
      <c r="J10" s="48"/>
      <c r="K10" s="35"/>
      <c r="L10" s="35">
        <v>45000</v>
      </c>
    </row>
    <row r="11" spans="1:13" x14ac:dyDescent="0.2">
      <c r="A11" s="1"/>
      <c r="B11" s="1"/>
      <c r="C11" s="1"/>
      <c r="D11" s="1"/>
      <c r="E11" s="43" t="s">
        <v>58</v>
      </c>
      <c r="F11" s="12"/>
      <c r="G11" s="13"/>
      <c r="H11" s="62"/>
      <c r="I11" s="69"/>
      <c r="J11" s="47"/>
      <c r="K11" s="13"/>
      <c r="L11" s="13"/>
    </row>
    <row r="12" spans="1:13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3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3" ht="16" thickBot="1" x14ac:dyDescent="0.25">
      <c r="A14" s="1"/>
      <c r="B14" s="1"/>
      <c r="C14" s="1"/>
      <c r="D14" s="1" t="s">
        <v>6</v>
      </c>
      <c r="E14" s="31"/>
      <c r="F14" s="7">
        <f>SUM(F9:F13)</f>
        <v>5000</v>
      </c>
      <c r="G14" s="8">
        <f>SUM(G9:G13)</f>
        <v>55000</v>
      </c>
      <c r="H14" s="62"/>
      <c r="I14" s="8">
        <f>SUM(I9:I13)</f>
        <v>3508</v>
      </c>
      <c r="J14" s="49">
        <f>SUM(J9:J13)</f>
        <v>3421</v>
      </c>
      <c r="K14" s="8">
        <f>SUM(K9:K13)</f>
        <v>3500</v>
      </c>
      <c r="L14" s="8">
        <f>SUM(L9:L13)</f>
        <v>55000</v>
      </c>
    </row>
    <row r="15" spans="1:13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3" x14ac:dyDescent="0.2">
      <c r="A16" s="1"/>
      <c r="B16" s="1"/>
      <c r="C16" s="1"/>
      <c r="D16" s="1"/>
      <c r="E16" s="43" t="s">
        <v>61</v>
      </c>
      <c r="F16" s="12">
        <v>10000</v>
      </c>
      <c r="G16" s="35">
        <v>17634</v>
      </c>
      <c r="H16" s="62"/>
      <c r="I16" s="13">
        <v>4814</v>
      </c>
      <c r="J16" s="48">
        <v>27109</v>
      </c>
      <c r="K16" s="35">
        <v>5597</v>
      </c>
      <c r="L16" s="35">
        <v>30230</v>
      </c>
    </row>
    <row r="17" spans="1:15" x14ac:dyDescent="0.2">
      <c r="A17" s="1"/>
      <c r="B17" s="1"/>
      <c r="C17" s="1"/>
      <c r="D17" s="1"/>
      <c r="E17" s="43" t="s">
        <v>62</v>
      </c>
      <c r="F17" s="12"/>
      <c r="G17" s="35"/>
      <c r="H17" s="62"/>
      <c r="I17" s="13">
        <v>88</v>
      </c>
      <c r="J17" s="48">
        <v>1323</v>
      </c>
      <c r="K17" s="35">
        <f>20000*0.04</f>
        <v>800</v>
      </c>
      <c r="L17" s="35">
        <f>21000*0.45</f>
        <v>9450</v>
      </c>
      <c r="M17" s="2" t="s">
        <v>115</v>
      </c>
    </row>
    <row r="18" spans="1:15" x14ac:dyDescent="0.2">
      <c r="A18" s="1"/>
      <c r="B18" s="1"/>
      <c r="C18" s="1"/>
      <c r="D18" s="1"/>
      <c r="E18" s="43" t="s">
        <v>63</v>
      </c>
      <c r="F18" s="12">
        <v>1000</v>
      </c>
      <c r="G18" s="35">
        <v>1400</v>
      </c>
      <c r="H18" s="62"/>
      <c r="I18" s="13">
        <v>8</v>
      </c>
      <c r="J18" s="48">
        <v>0</v>
      </c>
      <c r="K18" s="35">
        <v>200</v>
      </c>
      <c r="L18" s="35">
        <v>200</v>
      </c>
    </row>
    <row r="19" spans="1:15" x14ac:dyDescent="0.2">
      <c r="A19" s="1"/>
      <c r="B19" s="1"/>
      <c r="C19" s="1"/>
      <c r="D19" s="1"/>
      <c r="E19" s="43" t="s">
        <v>64</v>
      </c>
      <c r="F19" s="12"/>
      <c r="G19" s="35">
        <v>25000</v>
      </c>
      <c r="H19" s="62"/>
      <c r="I19" s="13">
        <v>869</v>
      </c>
      <c r="J19" s="48">
        <v>4417</v>
      </c>
      <c r="K19" s="35">
        <v>0</v>
      </c>
      <c r="L19" s="35">
        <v>25000</v>
      </c>
      <c r="M19" s="2" t="s">
        <v>121</v>
      </c>
    </row>
    <row r="20" spans="1:15" x14ac:dyDescent="0.2">
      <c r="A20" s="1"/>
      <c r="B20" s="1"/>
      <c r="C20" s="1"/>
      <c r="D20" s="1"/>
      <c r="E20" s="43" t="s">
        <v>65</v>
      </c>
      <c r="F20" s="12"/>
      <c r="G20" s="35">
        <v>4000</v>
      </c>
      <c r="H20" s="62"/>
      <c r="I20" s="13">
        <v>602</v>
      </c>
      <c r="J20" s="48">
        <v>3960</v>
      </c>
      <c r="K20" s="35">
        <v>800</v>
      </c>
      <c r="L20" s="35">
        <v>4515</v>
      </c>
    </row>
    <row r="21" spans="1:15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>
        <v>0</v>
      </c>
      <c r="K21" s="35"/>
      <c r="L21" s="35"/>
    </row>
    <row r="22" spans="1:15" ht="16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>
        <v>0</v>
      </c>
      <c r="K22" s="35"/>
      <c r="L22" s="35"/>
      <c r="N22" s="303"/>
      <c r="O22" s="303"/>
    </row>
    <row r="23" spans="1:15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>
        <v>0</v>
      </c>
      <c r="K23" s="35"/>
      <c r="L23" s="35"/>
    </row>
    <row r="24" spans="1:15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5" ht="16" thickBot="1" x14ac:dyDescent="0.25">
      <c r="A25" s="1"/>
      <c r="B25" s="1"/>
      <c r="C25" s="1"/>
      <c r="D25" s="1" t="s">
        <v>7</v>
      </c>
      <c r="E25" s="31"/>
      <c r="F25" s="7">
        <f>SUM(F16:F24)</f>
        <v>11000</v>
      </c>
      <c r="G25" s="8">
        <f>SUM(G16:G24)</f>
        <v>48034</v>
      </c>
      <c r="H25" s="62"/>
      <c r="I25" s="13">
        <f>SUM(I16:I24)</f>
        <v>6381</v>
      </c>
      <c r="J25" s="49">
        <f>SUM(J16:J24)</f>
        <v>36809</v>
      </c>
      <c r="K25" s="8">
        <f>SUM(K16:K24)</f>
        <v>7397</v>
      </c>
      <c r="L25" s="8">
        <f>SUM(L16:L24)</f>
        <v>69395</v>
      </c>
    </row>
    <row r="26" spans="1:15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-6000</v>
      </c>
      <c r="G26" s="10">
        <f t="shared" si="0"/>
        <v>6966</v>
      </c>
      <c r="H26" s="70"/>
      <c r="I26" s="10">
        <f t="shared" ref="I26" si="1">I14-I25</f>
        <v>-2873</v>
      </c>
      <c r="J26" s="50">
        <f t="shared" ref="J26:K26" si="2">J14-J25</f>
        <v>-33388</v>
      </c>
      <c r="K26" s="10">
        <f t="shared" si="2"/>
        <v>-3897</v>
      </c>
      <c r="L26" s="10">
        <f t="shared" ref="L26" si="3">L14-L25</f>
        <v>-14395</v>
      </c>
    </row>
    <row r="27" spans="1:15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5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5" x14ac:dyDescent="0.2">
      <c r="A29" s="1"/>
      <c r="B29" s="1"/>
      <c r="C29" s="1"/>
      <c r="D29" s="41"/>
      <c r="E29" s="43" t="s">
        <v>69</v>
      </c>
      <c r="F29" s="12"/>
      <c r="G29" s="13"/>
      <c r="H29" s="62"/>
      <c r="I29" s="13">
        <v>870</v>
      </c>
      <c r="J29" s="48"/>
      <c r="K29" s="35">
        <v>1200</v>
      </c>
      <c r="L29" s="35">
        <v>1200</v>
      </c>
      <c r="M29" s="2" t="s">
        <v>181</v>
      </c>
    </row>
    <row r="30" spans="1:15" x14ac:dyDescent="0.2">
      <c r="A30" s="1"/>
      <c r="B30" s="1"/>
      <c r="C30" s="1"/>
      <c r="D30" s="44"/>
      <c r="E30" s="63" t="s">
        <v>16</v>
      </c>
      <c r="F30" s="12"/>
      <c r="G30" s="13"/>
      <c r="H30" s="62"/>
      <c r="I30" s="13"/>
      <c r="J30" s="48"/>
      <c r="K30" s="35"/>
      <c r="L30" s="35"/>
    </row>
    <row r="31" spans="1:15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5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0</v>
      </c>
      <c r="G32" s="13">
        <f t="shared" si="4"/>
        <v>0</v>
      </c>
      <c r="I32" s="47">
        <f>SUM(I28:I31)</f>
        <v>870</v>
      </c>
      <c r="J32" s="47">
        <f t="shared" ref="J32:K32" si="5">SUM(J28:J31)</f>
        <v>0</v>
      </c>
      <c r="K32" s="13">
        <f t="shared" si="5"/>
        <v>1200</v>
      </c>
      <c r="L32" s="13">
        <f t="shared" ref="L32" si="6">SUM(L28:L31)</f>
        <v>1200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0</v>
      </c>
      <c r="G36" s="14">
        <f t="shared" si="11"/>
        <v>0</v>
      </c>
      <c r="I36" s="51">
        <f t="shared" ref="I36" si="12">I32-I35</f>
        <v>870</v>
      </c>
      <c r="J36" s="51">
        <f t="shared" ref="J36:K36" si="13">J32-J35</f>
        <v>0</v>
      </c>
      <c r="K36" s="14">
        <f t="shared" si="13"/>
        <v>1200</v>
      </c>
      <c r="L36" s="14">
        <f t="shared" ref="L36" si="14">L32-L35</f>
        <v>1200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-6000</v>
      </c>
      <c r="G37" s="16">
        <f t="shared" si="15"/>
        <v>6966</v>
      </c>
      <c r="I37" s="52">
        <f t="shared" ref="I37" si="16">I36+I26</f>
        <v>-2003</v>
      </c>
      <c r="J37" s="52">
        <f t="shared" ref="J37:K37" si="17">J36+J26</f>
        <v>-33388</v>
      </c>
      <c r="K37" s="16">
        <f t="shared" si="17"/>
        <v>-2697</v>
      </c>
      <c r="L37" s="16">
        <f t="shared" ref="L37" si="18">L36+L26</f>
        <v>-13195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/>
    </row>
  </sheetData>
  <mergeCells count="1">
    <mergeCell ref="F3:G3"/>
  </mergeCells>
  <pageMargins left="0.25" right="0.25" top="0.75" bottom="0.75" header="0.3" footer="0.3"/>
  <pageSetup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5" ht="16" x14ac:dyDescent="0.2">
      <c r="A1" s="17" t="s">
        <v>15</v>
      </c>
      <c r="B1" s="1"/>
      <c r="C1" s="1"/>
      <c r="D1" s="1"/>
      <c r="E1" s="1"/>
      <c r="I1" s="40"/>
    </row>
    <row r="2" spans="1:15" x14ac:dyDescent="0.2">
      <c r="A2" s="20"/>
      <c r="B2" s="1"/>
      <c r="C2" s="1"/>
      <c r="D2" s="1"/>
      <c r="E2" s="66"/>
      <c r="F2" s="19"/>
      <c r="H2" s="59"/>
      <c r="I2" s="19"/>
    </row>
    <row r="3" spans="1:15" ht="18" x14ac:dyDescent="0.2">
      <c r="A3" s="1"/>
      <c r="B3" s="1"/>
      <c r="C3" s="1"/>
      <c r="D3" s="1"/>
      <c r="E3" s="78" t="s">
        <v>39</v>
      </c>
      <c r="F3" s="289"/>
      <c r="G3" s="289"/>
      <c r="H3" s="59"/>
      <c r="I3" s="21"/>
      <c r="J3" s="59"/>
      <c r="L3" s="59"/>
    </row>
    <row r="4" spans="1:15" ht="18" x14ac:dyDescent="0.2">
      <c r="A4" s="1"/>
      <c r="B4" s="1"/>
      <c r="C4" s="1"/>
      <c r="D4" s="1"/>
      <c r="E4" s="78"/>
      <c r="F4" s="112"/>
      <c r="G4" s="112"/>
      <c r="H4" s="118"/>
      <c r="I4" s="21"/>
      <c r="J4" s="59"/>
      <c r="L4" s="59"/>
    </row>
    <row r="5" spans="1:15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5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H6" s="81"/>
      <c r="I6" s="80" t="s">
        <v>26</v>
      </c>
      <c r="J6" s="61" t="s">
        <v>187</v>
      </c>
      <c r="K6" s="61" t="s">
        <v>17</v>
      </c>
      <c r="L6" s="61" t="s">
        <v>18</v>
      </c>
    </row>
    <row r="7" spans="1:15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5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5" x14ac:dyDescent="0.2">
      <c r="A9" s="1"/>
      <c r="B9" s="1"/>
      <c r="C9" s="1"/>
      <c r="D9" s="1"/>
      <c r="E9" s="128" t="s">
        <v>57</v>
      </c>
      <c r="F9" s="34">
        <v>500</v>
      </c>
      <c r="G9" s="35">
        <v>500</v>
      </c>
      <c r="H9" s="89"/>
      <c r="I9" s="69"/>
      <c r="J9" s="48">
        <v>771</v>
      </c>
      <c r="K9" s="35"/>
      <c r="L9" s="35"/>
    </row>
    <row r="10" spans="1:15" x14ac:dyDescent="0.2">
      <c r="A10" s="1"/>
      <c r="B10" s="1"/>
      <c r="C10" s="1"/>
      <c r="D10" s="1"/>
      <c r="E10" s="128" t="s">
        <v>56</v>
      </c>
      <c r="F10" s="12"/>
      <c r="G10" s="13"/>
      <c r="H10" s="84"/>
      <c r="I10" s="69"/>
      <c r="J10" s="47"/>
      <c r="K10" s="13"/>
      <c r="L10" s="13"/>
    </row>
    <row r="11" spans="1:15" x14ac:dyDescent="0.2">
      <c r="A11" s="1"/>
      <c r="B11" s="1"/>
      <c r="C11" s="1"/>
      <c r="D11" s="1"/>
      <c r="E11" s="43" t="s">
        <v>58</v>
      </c>
      <c r="F11" s="12"/>
      <c r="G11" s="13"/>
      <c r="H11" s="84"/>
      <c r="I11" s="69"/>
      <c r="J11" s="47"/>
      <c r="K11" s="13">
        <v>2500</v>
      </c>
      <c r="L11" s="13">
        <v>2500</v>
      </c>
    </row>
    <row r="12" spans="1:15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5" ht="16" thickBot="1" x14ac:dyDescent="0.25">
      <c r="A13" s="1"/>
      <c r="B13" s="1"/>
      <c r="C13" s="1"/>
      <c r="D13" s="1"/>
      <c r="E13" s="43" t="s">
        <v>60</v>
      </c>
      <c r="F13" s="34"/>
      <c r="G13" s="35">
        <v>1589</v>
      </c>
      <c r="H13" s="89"/>
      <c r="I13" s="13">
        <v>1621</v>
      </c>
      <c r="J13" s="48">
        <v>1597</v>
      </c>
      <c r="K13" s="35">
        <v>1524.68</v>
      </c>
      <c r="L13" s="35">
        <v>1500</v>
      </c>
      <c r="M13" s="2" t="s">
        <v>108</v>
      </c>
    </row>
    <row r="14" spans="1:15" ht="16" thickBot="1" x14ac:dyDescent="0.25">
      <c r="A14" s="1"/>
      <c r="B14" s="1"/>
      <c r="C14" s="1"/>
      <c r="D14" s="1" t="s">
        <v>6</v>
      </c>
      <c r="E14" s="31"/>
      <c r="F14" s="7">
        <f>SUM(F9:F13)</f>
        <v>500</v>
      </c>
      <c r="G14" s="8">
        <f>SUM(G9:G13)</f>
        <v>2089</v>
      </c>
      <c r="H14" s="62"/>
      <c r="I14" s="8">
        <f>SUM(I9:I13)</f>
        <v>1621</v>
      </c>
      <c r="J14" s="49">
        <f>SUM(J9:J13)</f>
        <v>2368</v>
      </c>
      <c r="K14" s="8">
        <f>SUM(K9:K13)</f>
        <v>4024.6800000000003</v>
      </c>
      <c r="L14" s="8">
        <f>SUM(L9:L13)</f>
        <v>4000</v>
      </c>
    </row>
    <row r="15" spans="1:15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5" ht="16" x14ac:dyDescent="0.2">
      <c r="A16" s="1"/>
      <c r="B16" s="1"/>
      <c r="C16" s="1"/>
      <c r="D16" s="1"/>
      <c r="E16" s="43" t="s">
        <v>61</v>
      </c>
      <c r="F16" s="34">
        <f>0.3*90000</f>
        <v>27000</v>
      </c>
      <c r="G16" s="35">
        <v>44067</v>
      </c>
      <c r="H16" s="84"/>
      <c r="I16" s="96">
        <v>36621</v>
      </c>
      <c r="J16" s="48">
        <v>16952</v>
      </c>
      <c r="K16" s="35">
        <v>36379</v>
      </c>
      <c r="L16" s="35">
        <v>30230</v>
      </c>
      <c r="M16" s="281"/>
      <c r="N16" s="254"/>
      <c r="O16" s="281"/>
    </row>
    <row r="17" spans="1:13" x14ac:dyDescent="0.2">
      <c r="A17" s="1"/>
      <c r="B17" s="1"/>
      <c r="C17" s="1"/>
      <c r="D17" s="1"/>
      <c r="E17" s="43" t="s">
        <v>62</v>
      </c>
      <c r="F17" s="34"/>
      <c r="G17" s="35"/>
      <c r="H17" s="84"/>
      <c r="I17" s="96">
        <v>864</v>
      </c>
      <c r="J17" s="48">
        <v>503</v>
      </c>
      <c r="K17" s="35">
        <f>20000*0.6</f>
        <v>12000</v>
      </c>
      <c r="L17" s="35">
        <f>21000*0.2</f>
        <v>4200</v>
      </c>
      <c r="M17" s="2" t="s">
        <v>113</v>
      </c>
    </row>
    <row r="18" spans="1:13" x14ac:dyDescent="0.2">
      <c r="A18" s="1"/>
      <c r="B18" s="1"/>
      <c r="C18" s="1"/>
      <c r="D18" s="1"/>
      <c r="E18" s="43" t="s">
        <v>63</v>
      </c>
      <c r="F18" s="34">
        <v>3600</v>
      </c>
      <c r="G18" s="35">
        <v>6800</v>
      </c>
      <c r="H18" s="84"/>
      <c r="I18" s="96">
        <v>374</v>
      </c>
      <c r="J18" s="48">
        <v>0</v>
      </c>
      <c r="K18" s="35">
        <v>500</v>
      </c>
      <c r="L18" s="35">
        <v>500</v>
      </c>
    </row>
    <row r="19" spans="1:13" x14ac:dyDescent="0.2">
      <c r="A19" s="1"/>
      <c r="B19" s="1"/>
      <c r="C19" s="1"/>
      <c r="D19" s="1"/>
      <c r="E19" s="43" t="s">
        <v>64</v>
      </c>
      <c r="F19" s="34">
        <v>3600</v>
      </c>
      <c r="G19" s="35">
        <v>15000</v>
      </c>
      <c r="H19" s="84"/>
      <c r="I19" s="96">
        <v>5893</v>
      </c>
      <c r="J19" s="48">
        <v>2995</v>
      </c>
      <c r="K19" s="35">
        <f>15000</f>
        <v>15000</v>
      </c>
      <c r="L19" s="35">
        <v>15000</v>
      </c>
      <c r="M19" s="2" t="s">
        <v>130</v>
      </c>
    </row>
    <row r="20" spans="1:13" x14ac:dyDescent="0.2">
      <c r="A20" s="1"/>
      <c r="B20" s="1"/>
      <c r="C20" s="1"/>
      <c r="D20" s="1"/>
      <c r="E20" s="43" t="s">
        <v>65</v>
      </c>
      <c r="F20" s="34">
        <v>500</v>
      </c>
      <c r="G20" s="35">
        <v>500</v>
      </c>
      <c r="H20" s="84"/>
      <c r="I20" s="96">
        <v>5392</v>
      </c>
      <c r="J20" s="48">
        <v>2224</v>
      </c>
      <c r="K20" s="35">
        <v>5200</v>
      </c>
      <c r="L20" s="35">
        <v>4515</v>
      </c>
    </row>
    <row r="21" spans="1:13" x14ac:dyDescent="0.2">
      <c r="A21" s="1"/>
      <c r="B21" s="1"/>
      <c r="C21" s="1"/>
      <c r="D21" s="1"/>
      <c r="E21" s="43" t="s">
        <v>66</v>
      </c>
      <c r="F21" s="34">
        <v>0</v>
      </c>
      <c r="G21" s="35">
        <v>0</v>
      </c>
      <c r="H21" s="84"/>
      <c r="I21" s="13"/>
      <c r="J21" s="48">
        <v>0</v>
      </c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34">
        <v>0</v>
      </c>
      <c r="G22" s="35">
        <v>0</v>
      </c>
      <c r="H22" s="62"/>
      <c r="I22" s="13"/>
      <c r="J22" s="48">
        <v>0</v>
      </c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>
        <v>0</v>
      </c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34700</v>
      </c>
      <c r="G25" s="8">
        <f>SUM(G16:G24)</f>
        <v>66367</v>
      </c>
      <c r="H25" s="62"/>
      <c r="I25" s="13">
        <f>SUM(I16:I24)</f>
        <v>49144</v>
      </c>
      <c r="J25" s="49">
        <f>SUM(J16:J24)</f>
        <v>22674</v>
      </c>
      <c r="K25" s="8">
        <f>SUM(K16:K24)</f>
        <v>69079</v>
      </c>
      <c r="L25" s="8">
        <f>SUM(L16:L24)</f>
        <v>54445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-34200</v>
      </c>
      <c r="G26" s="10">
        <f t="shared" si="0"/>
        <v>-64278</v>
      </c>
      <c r="H26" s="70"/>
      <c r="I26" s="10">
        <f t="shared" ref="I26" si="1">I14-I25</f>
        <v>-47523</v>
      </c>
      <c r="J26" s="50">
        <f t="shared" ref="J26:K26" si="2">J14-J25</f>
        <v>-20306</v>
      </c>
      <c r="K26" s="10">
        <f t="shared" si="2"/>
        <v>-65054.32</v>
      </c>
      <c r="L26" s="10">
        <f t="shared" ref="L26" si="3">L14-L25</f>
        <v>-50445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34">
        <v>10000</v>
      </c>
      <c r="G29" s="35">
        <v>20000</v>
      </c>
      <c r="H29" s="84"/>
      <c r="I29" s="96">
        <v>12893</v>
      </c>
      <c r="J29" s="48"/>
      <c r="K29" s="35">
        <f>7500+8218+25000 +500 +1000</f>
        <v>42218</v>
      </c>
      <c r="L29" s="35">
        <f>15000+8000+500+1000</f>
        <v>24500</v>
      </c>
      <c r="M29" s="2" t="s">
        <v>171</v>
      </c>
    </row>
    <row r="30" spans="1:13" x14ac:dyDescent="0.2">
      <c r="A30" s="1"/>
      <c r="B30" s="1"/>
      <c r="C30" s="1"/>
      <c r="D30" s="44"/>
      <c r="E30" s="63" t="s">
        <v>16</v>
      </c>
      <c r="F30" s="34"/>
      <c r="G30" s="35"/>
      <c r="H30" s="84"/>
      <c r="I30" s="13"/>
      <c r="J30" s="48"/>
      <c r="K30" s="35"/>
      <c r="L30" s="35"/>
      <c r="M30" s="2" t="s">
        <v>182</v>
      </c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10000</v>
      </c>
      <c r="G32" s="13">
        <f t="shared" si="4"/>
        <v>20000</v>
      </c>
      <c r="I32" s="47">
        <f>SUM(I28:I31)</f>
        <v>12893</v>
      </c>
      <c r="J32" s="47">
        <f t="shared" ref="J32:K32" si="5">SUM(J28:J31)</f>
        <v>0</v>
      </c>
      <c r="K32" s="13">
        <f t="shared" si="5"/>
        <v>42218</v>
      </c>
      <c r="L32" s="13">
        <f t="shared" ref="L32" si="6">SUM(L28:L31)</f>
        <v>24500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10000</v>
      </c>
      <c r="G36" s="14">
        <f t="shared" si="11"/>
        <v>20000</v>
      </c>
      <c r="I36" s="51">
        <f t="shared" ref="I36" si="12">I32-I35</f>
        <v>12893</v>
      </c>
      <c r="J36" s="51">
        <f t="shared" ref="J36:K36" si="13">J32-J35</f>
        <v>0</v>
      </c>
      <c r="K36" s="14">
        <f t="shared" si="13"/>
        <v>42218</v>
      </c>
      <c r="L36" s="14">
        <f t="shared" ref="L36" si="14">L32-L35</f>
        <v>24500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-24200</v>
      </c>
      <c r="G37" s="16">
        <f t="shared" si="15"/>
        <v>-44278</v>
      </c>
      <c r="I37" s="52">
        <f t="shared" ref="I37" si="16">I36+I26</f>
        <v>-34630</v>
      </c>
      <c r="J37" s="52">
        <f t="shared" ref="J37:K37" si="17">J36+J26</f>
        <v>-20306</v>
      </c>
      <c r="K37" s="16">
        <f t="shared" si="17"/>
        <v>-22836.32</v>
      </c>
      <c r="L37" s="16">
        <f t="shared" ref="L37" si="18">L36+L26</f>
        <v>-25945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/>
    </row>
  </sheetData>
  <mergeCells count="1">
    <mergeCell ref="F3:G3"/>
  </mergeCells>
  <pageMargins left="0.25" right="0.25" top="0.75" bottom="0.75" header="0.3" footer="0.3"/>
  <pageSetup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8" sqref="E8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66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38</v>
      </c>
      <c r="F3" s="289"/>
      <c r="G3" s="289"/>
      <c r="H3" s="59"/>
      <c r="I3" s="21"/>
      <c r="J3" s="59"/>
      <c r="K3" s="59"/>
      <c r="L3" s="59"/>
    </row>
    <row r="4" spans="1:12" ht="18" customHeight="1" x14ac:dyDescent="0.2">
      <c r="A4" s="1"/>
      <c r="B4" s="1"/>
      <c r="C4" s="1"/>
      <c r="D4" s="1"/>
      <c r="E4" s="132"/>
      <c r="F4" s="112"/>
      <c r="G4" s="112"/>
      <c r="H4" s="118"/>
      <c r="I4" s="21"/>
      <c r="J4" s="59"/>
      <c r="K4" s="59"/>
      <c r="L4" s="59"/>
    </row>
    <row r="5" spans="1:12" ht="16" thickBot="1" x14ac:dyDescent="0.25">
      <c r="A5" s="1"/>
      <c r="B5" s="1"/>
      <c r="C5" s="1"/>
      <c r="D5" s="1"/>
      <c r="E5" s="132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5"/>
      <c r="G8" s="3"/>
      <c r="H8" s="62"/>
      <c r="I8" s="3"/>
      <c r="J8" s="46"/>
      <c r="K8" s="3"/>
      <c r="L8" s="3"/>
    </row>
    <row r="9" spans="1:12" x14ac:dyDescent="0.2">
      <c r="A9" s="1"/>
      <c r="B9" s="1"/>
      <c r="C9" s="1"/>
      <c r="D9" s="1"/>
      <c r="E9" s="128" t="s">
        <v>57</v>
      </c>
      <c r="F9" s="34">
        <v>3000</v>
      </c>
      <c r="G9" s="35">
        <v>1000</v>
      </c>
      <c r="H9" s="88"/>
      <c r="I9" s="98">
        <v>4740</v>
      </c>
      <c r="J9" s="48">
        <v>5945</v>
      </c>
      <c r="K9" s="35">
        <v>5000</v>
      </c>
      <c r="L9" s="35">
        <v>5500</v>
      </c>
    </row>
    <row r="10" spans="1:12" x14ac:dyDescent="0.2">
      <c r="A10" s="1"/>
      <c r="B10" s="1"/>
      <c r="C10" s="1"/>
      <c r="D10" s="1"/>
      <c r="E10" s="128" t="s">
        <v>56</v>
      </c>
      <c r="F10" s="34"/>
      <c r="G10" s="35">
        <v>0</v>
      </c>
      <c r="H10" s="62"/>
      <c r="I10" s="69"/>
      <c r="J10" s="48"/>
      <c r="K10" s="35"/>
      <c r="L10" s="35"/>
    </row>
    <row r="11" spans="1:12" x14ac:dyDescent="0.2">
      <c r="A11" s="1"/>
      <c r="B11" s="1"/>
      <c r="C11" s="1"/>
      <c r="D11" s="1"/>
      <c r="E11" s="43" t="s">
        <v>58</v>
      </c>
      <c r="F11" s="34"/>
      <c r="G11" s="35">
        <v>0</v>
      </c>
      <c r="H11" s="62"/>
      <c r="I11" s="69"/>
      <c r="J11" s="48">
        <v>20000</v>
      </c>
      <c r="K11" s="35"/>
      <c r="L11" s="35"/>
    </row>
    <row r="12" spans="1:12" x14ac:dyDescent="0.2">
      <c r="A12" s="1"/>
      <c r="B12" s="1"/>
      <c r="C12" s="1"/>
      <c r="D12" s="1"/>
      <c r="E12" s="43" t="s">
        <v>59</v>
      </c>
      <c r="F12" s="34">
        <v>500</v>
      </c>
      <c r="G12" s="35">
        <v>1000</v>
      </c>
      <c r="H12" s="88"/>
      <c r="I12" s="69"/>
      <c r="J12" s="48">
        <v>20.58</v>
      </c>
      <c r="K12" s="35"/>
      <c r="L12" s="35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>SUM(F9:F13)</f>
        <v>3500</v>
      </c>
      <c r="G14" s="8">
        <f>SUM(G9:G13)</f>
        <v>2000</v>
      </c>
      <c r="H14" s="62"/>
      <c r="I14" s="8">
        <f>SUM(I9:I13)</f>
        <v>4740</v>
      </c>
      <c r="J14" s="49">
        <f>SUM(J9:J13)</f>
        <v>25965.58</v>
      </c>
      <c r="K14" s="8">
        <f>SUM(K9:K13)</f>
        <v>5000</v>
      </c>
      <c r="L14" s="8">
        <f>SUM(L9:L13)</f>
        <v>5500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62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34">
        <f>0.3 * 60000 + 0.15 * 90000</f>
        <v>31500</v>
      </c>
      <c r="G16" s="36">
        <v>44087</v>
      </c>
      <c r="H16" s="87"/>
      <c r="I16" s="13">
        <v>41219</v>
      </c>
      <c r="J16" s="48">
        <v>32435</v>
      </c>
      <c r="K16" s="36">
        <v>33581</v>
      </c>
      <c r="L16" s="36">
        <v>23032</v>
      </c>
    </row>
    <row r="17" spans="1:13" x14ac:dyDescent="0.2">
      <c r="A17" s="1"/>
      <c r="B17" s="1"/>
      <c r="C17" s="1"/>
      <c r="D17" s="1"/>
      <c r="E17" s="43" t="s">
        <v>62</v>
      </c>
      <c r="F17" s="34">
        <f>2000+20000</f>
        <v>22000</v>
      </c>
      <c r="G17" s="35">
        <v>9500</v>
      </c>
      <c r="H17" s="87"/>
      <c r="I17" s="13">
        <v>6990</v>
      </c>
      <c r="J17" s="48">
        <v>25773</v>
      </c>
      <c r="K17" s="35">
        <f>2000+(20000 *0.26)</f>
        <v>7200</v>
      </c>
      <c r="L17" s="35">
        <f>2000+(21000 *0.25)</f>
        <v>7250</v>
      </c>
      <c r="M17" s="2" t="s">
        <v>136</v>
      </c>
    </row>
    <row r="18" spans="1:13" x14ac:dyDescent="0.2">
      <c r="A18" s="1"/>
      <c r="B18" s="1"/>
      <c r="C18" s="1"/>
      <c r="D18" s="1"/>
      <c r="E18" s="43" t="s">
        <v>63</v>
      </c>
      <c r="F18" s="34">
        <v>3600</v>
      </c>
      <c r="G18" s="35">
        <v>5000</v>
      </c>
      <c r="H18" s="87"/>
      <c r="I18" s="13">
        <v>645</v>
      </c>
      <c r="J18" s="48">
        <v>0</v>
      </c>
      <c r="K18" s="35">
        <v>5000</v>
      </c>
      <c r="L18" s="35">
        <v>5000</v>
      </c>
      <c r="M18" s="2" t="s">
        <v>82</v>
      </c>
    </row>
    <row r="19" spans="1:13" x14ac:dyDescent="0.2">
      <c r="A19" s="1"/>
      <c r="B19" s="1"/>
      <c r="C19" s="1"/>
      <c r="D19" s="1"/>
      <c r="E19" s="43" t="s">
        <v>64</v>
      </c>
      <c r="F19" s="34">
        <v>2000</v>
      </c>
      <c r="G19" s="35">
        <v>2000</v>
      </c>
      <c r="H19" s="87"/>
      <c r="I19" s="13">
        <v>1983</v>
      </c>
      <c r="J19" s="48">
        <v>4917</v>
      </c>
      <c r="K19" s="35">
        <v>2000</v>
      </c>
      <c r="L19" s="35">
        <v>2000</v>
      </c>
    </row>
    <row r="20" spans="1:13" x14ac:dyDescent="0.2">
      <c r="A20" s="1"/>
      <c r="B20" s="1"/>
      <c r="C20" s="1"/>
      <c r="D20" s="1"/>
      <c r="E20" s="43" t="s">
        <v>65</v>
      </c>
      <c r="F20" s="34">
        <v>2000</v>
      </c>
      <c r="G20" s="35">
        <v>2000</v>
      </c>
      <c r="H20" s="87"/>
      <c r="I20" s="13">
        <v>8750</v>
      </c>
      <c r="J20" s="48">
        <v>7640</v>
      </c>
      <c r="K20" s="35">
        <v>4800</v>
      </c>
      <c r="L20" s="35">
        <v>4440</v>
      </c>
    </row>
    <row r="21" spans="1:13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>
        <v>0</v>
      </c>
      <c r="K21" s="35"/>
      <c r="L21" s="35"/>
    </row>
    <row r="22" spans="1:13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>
        <v>0</v>
      </c>
      <c r="K22" s="35"/>
      <c r="L22" s="35"/>
    </row>
    <row r="23" spans="1:13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>
        <v>0</v>
      </c>
      <c r="K23" s="35"/>
      <c r="L23" s="35"/>
    </row>
    <row r="24" spans="1:13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3" ht="16" thickBot="1" x14ac:dyDescent="0.25">
      <c r="A25" s="1"/>
      <c r="B25" s="1"/>
      <c r="C25" s="1"/>
      <c r="D25" s="1" t="s">
        <v>7</v>
      </c>
      <c r="E25" s="31"/>
      <c r="F25" s="7">
        <f>SUM(F16:F24)</f>
        <v>61100</v>
      </c>
      <c r="G25" s="8">
        <f>SUM(G16:G24)</f>
        <v>62587</v>
      </c>
      <c r="H25" s="62"/>
      <c r="I25" s="13">
        <f>SUM(I16:I24)</f>
        <v>59587</v>
      </c>
      <c r="J25" s="49">
        <f>SUM(J16:J24)</f>
        <v>70765</v>
      </c>
      <c r="K25" s="8">
        <f>SUM(K16:K24)</f>
        <v>52581</v>
      </c>
      <c r="L25" s="8">
        <f>SUM(L16:L24)</f>
        <v>41722</v>
      </c>
    </row>
    <row r="26" spans="1:13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0">F14-F25</f>
        <v>-57600</v>
      </c>
      <c r="G26" s="10">
        <f t="shared" si="0"/>
        <v>-60587</v>
      </c>
      <c r="H26" s="70"/>
      <c r="I26" s="10">
        <f t="shared" ref="I26" si="1">I14-I25</f>
        <v>-54847</v>
      </c>
      <c r="J26" s="50">
        <f t="shared" ref="J26:K26" si="2">J14-J25</f>
        <v>-44799.42</v>
      </c>
      <c r="K26" s="10">
        <f t="shared" si="2"/>
        <v>-47581</v>
      </c>
      <c r="L26" s="10">
        <f t="shared" ref="L26" si="3">L14-L25</f>
        <v>-36222</v>
      </c>
    </row>
    <row r="27" spans="1:13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3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3" x14ac:dyDescent="0.2">
      <c r="A29" s="1"/>
      <c r="B29" s="1"/>
      <c r="C29" s="1"/>
      <c r="D29" s="41"/>
      <c r="E29" s="43" t="s">
        <v>69</v>
      </c>
      <c r="F29" s="34">
        <v>5000</v>
      </c>
      <c r="G29" s="35">
        <v>19500</v>
      </c>
      <c r="H29" s="62"/>
      <c r="I29" s="13">
        <v>47158</v>
      </c>
      <c r="J29" s="48"/>
      <c r="K29" s="35">
        <v>6500</v>
      </c>
      <c r="L29" s="35">
        <v>6500</v>
      </c>
      <c r="M29" s="2" t="s">
        <v>178</v>
      </c>
    </row>
    <row r="30" spans="1:13" x14ac:dyDescent="0.2">
      <c r="A30" s="1"/>
      <c r="B30" s="1"/>
      <c r="C30" s="1"/>
      <c r="D30" s="44"/>
      <c r="E30" s="63" t="s">
        <v>16</v>
      </c>
      <c r="F30" s="34">
        <v>45000</v>
      </c>
      <c r="G30" s="35"/>
      <c r="H30" s="62"/>
      <c r="I30" s="13"/>
      <c r="J30" s="48"/>
      <c r="K30" s="35"/>
      <c r="L30" s="35"/>
    </row>
    <row r="31" spans="1:13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3" x14ac:dyDescent="0.2">
      <c r="A32" s="1"/>
      <c r="B32" s="1"/>
      <c r="C32" s="1" t="s">
        <v>10</v>
      </c>
      <c r="D32" s="1"/>
      <c r="E32" s="31"/>
      <c r="F32" s="12">
        <f t="shared" ref="F32:G32" si="4">SUM(F28:F31)</f>
        <v>50000</v>
      </c>
      <c r="G32" s="13">
        <f t="shared" si="4"/>
        <v>19500</v>
      </c>
      <c r="I32" s="47">
        <f>SUM(I28:I31)</f>
        <v>47158</v>
      </c>
      <c r="J32" s="47">
        <f t="shared" ref="J32:K32" si="5">SUM(J28:J31)</f>
        <v>0</v>
      </c>
      <c r="K32" s="13">
        <f t="shared" si="5"/>
        <v>6500</v>
      </c>
      <c r="L32" s="13">
        <f t="shared" ref="L32" si="6">SUM(L28:L31)</f>
        <v>6500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7">F34</f>
        <v>0</v>
      </c>
      <c r="G35" s="14">
        <f t="shared" si="7"/>
        <v>0</v>
      </c>
      <c r="I35" s="51">
        <f t="shared" ref="I35" si="8">I34</f>
        <v>0</v>
      </c>
      <c r="J35" s="51">
        <f t="shared" ref="J35:K35" si="9">J34</f>
        <v>0</v>
      </c>
      <c r="K35" s="14">
        <f t="shared" si="9"/>
        <v>0</v>
      </c>
      <c r="L35" s="14">
        <f t="shared" ref="L35" si="10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1">F32-F35</f>
        <v>50000</v>
      </c>
      <c r="G36" s="14">
        <f t="shared" si="11"/>
        <v>19500</v>
      </c>
      <c r="I36" s="51">
        <f t="shared" ref="I36" si="12">I32-I35</f>
        <v>47158</v>
      </c>
      <c r="J36" s="51">
        <f t="shared" ref="J36:K36" si="13">J32-J35</f>
        <v>0</v>
      </c>
      <c r="K36" s="14">
        <f t="shared" si="13"/>
        <v>6500</v>
      </c>
      <c r="L36" s="14">
        <f t="shared" ref="L36" si="14">L32-L35</f>
        <v>6500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5">F36+F26</f>
        <v>-7600</v>
      </c>
      <c r="G37" s="16">
        <f t="shared" si="15"/>
        <v>-41087</v>
      </c>
      <c r="I37" s="52">
        <f t="shared" ref="I37" si="16">I36+I26</f>
        <v>-7689</v>
      </c>
      <c r="J37" s="52">
        <f t="shared" ref="J37:K37" si="17">J36+J26</f>
        <v>-44799.42</v>
      </c>
      <c r="K37" s="16">
        <f t="shared" si="17"/>
        <v>-41081</v>
      </c>
      <c r="L37" s="16">
        <f t="shared" ref="L37" si="18">L36+L26</f>
        <v>-29722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/>
    </row>
  </sheetData>
  <mergeCells count="1">
    <mergeCell ref="F3:G3"/>
  </mergeCells>
  <pageMargins left="0.25" right="0.25" top="0.75" bottom="0.75" header="0.3" footer="0.3"/>
  <pageSetup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6" sqref="J6"/>
    </sheetView>
  </sheetViews>
  <sheetFormatPr baseColWidth="10" defaultColWidth="8.83203125" defaultRowHeight="15" x14ac:dyDescent="0.2"/>
  <cols>
    <col min="1" max="1" width="1.6640625" style="28" customWidth="1"/>
    <col min="2" max="2" width="2" style="28" customWidth="1"/>
    <col min="3" max="3" width="1.5" style="28" customWidth="1"/>
    <col min="4" max="4" width="1.6640625" style="28" customWidth="1"/>
    <col min="5" max="5" width="67.83203125" style="28" customWidth="1"/>
    <col min="6" max="6" width="16.33203125" style="18" customWidth="1"/>
    <col min="7" max="7" width="16.33203125" style="19" customWidth="1"/>
    <col min="8" max="8" width="9.1640625" style="2" customWidth="1"/>
    <col min="9" max="9" width="16.33203125" style="2" customWidth="1"/>
    <col min="10" max="12" width="16.33203125" style="19" customWidth="1"/>
    <col min="13" max="13" width="9.1640625" style="2" customWidth="1"/>
    <col min="14" max="16384" width="8.83203125" style="2"/>
  </cols>
  <sheetData>
    <row r="1" spans="1:12" ht="16" x14ac:dyDescent="0.2">
      <c r="A1" s="17" t="s">
        <v>15</v>
      </c>
      <c r="B1" s="1"/>
      <c r="C1" s="1"/>
      <c r="D1" s="1"/>
      <c r="E1" s="1"/>
      <c r="I1" s="40"/>
    </row>
    <row r="2" spans="1:12" x14ac:dyDescent="0.2">
      <c r="A2" s="20"/>
      <c r="B2" s="1"/>
      <c r="C2" s="1"/>
      <c r="D2" s="1"/>
      <c r="E2" s="66"/>
      <c r="F2" s="19"/>
      <c r="H2" s="59"/>
      <c r="I2" s="19"/>
    </row>
    <row r="3" spans="1:12" ht="18" x14ac:dyDescent="0.2">
      <c r="A3" s="1"/>
      <c r="B3" s="1"/>
      <c r="C3" s="1"/>
      <c r="D3" s="1"/>
      <c r="E3" s="78" t="s">
        <v>37</v>
      </c>
      <c r="F3" s="290"/>
      <c r="G3" s="290"/>
      <c r="H3" s="59"/>
      <c r="I3" s="21"/>
      <c r="J3" s="59"/>
      <c r="K3" s="59"/>
      <c r="L3" s="59"/>
    </row>
    <row r="4" spans="1:12" ht="18" x14ac:dyDescent="0.2">
      <c r="A4" s="1"/>
      <c r="B4" s="1"/>
      <c r="C4" s="1"/>
      <c r="D4" s="1"/>
      <c r="E4" s="78"/>
      <c r="F4" s="113"/>
      <c r="G4" s="113"/>
      <c r="H4" s="118"/>
      <c r="I4" s="21"/>
      <c r="J4" s="59"/>
      <c r="K4" s="59"/>
      <c r="L4" s="59"/>
    </row>
    <row r="5" spans="1:12" ht="16" thickBot="1" x14ac:dyDescent="0.25">
      <c r="A5" s="1"/>
      <c r="B5" s="1"/>
      <c r="C5" s="1"/>
      <c r="D5" s="1"/>
      <c r="E5" s="66"/>
      <c r="F5" s="60"/>
      <c r="G5" s="60"/>
      <c r="H5" s="59"/>
      <c r="I5" s="60"/>
      <c r="J5" s="60"/>
      <c r="K5" s="60"/>
      <c r="L5" s="60"/>
    </row>
    <row r="6" spans="1:12" s="24" customFormat="1" ht="37" customHeight="1" thickTop="1" thickBot="1" x14ac:dyDescent="0.25">
      <c r="A6" s="22"/>
      <c r="B6" s="22"/>
      <c r="C6" s="22"/>
      <c r="D6" s="22"/>
      <c r="E6" s="32"/>
      <c r="F6" s="67" t="s">
        <v>19</v>
      </c>
      <c r="G6" s="61" t="s">
        <v>20</v>
      </c>
      <c r="I6" s="61" t="s">
        <v>26</v>
      </c>
      <c r="J6" s="61" t="s">
        <v>187</v>
      </c>
      <c r="K6" s="61" t="s">
        <v>17</v>
      </c>
      <c r="L6" s="61" t="s">
        <v>18</v>
      </c>
    </row>
    <row r="7" spans="1:12" ht="16" thickTop="1" x14ac:dyDescent="0.2">
      <c r="A7" s="1"/>
      <c r="B7" s="1" t="s">
        <v>0</v>
      </c>
      <c r="C7" s="1"/>
      <c r="D7" s="1"/>
      <c r="E7" s="31"/>
      <c r="F7" s="25"/>
      <c r="G7" s="3"/>
      <c r="H7" s="62"/>
      <c r="I7" s="3"/>
      <c r="J7" s="46"/>
      <c r="K7" s="3"/>
      <c r="L7" s="3"/>
    </row>
    <row r="8" spans="1:12" x14ac:dyDescent="0.2">
      <c r="A8" s="1"/>
      <c r="B8" s="1"/>
      <c r="C8" s="1"/>
      <c r="D8" s="42" t="s">
        <v>1</v>
      </c>
      <c r="E8" s="31"/>
      <c r="F8" s="12"/>
      <c r="G8" s="13"/>
      <c r="H8" s="62"/>
      <c r="I8" s="13">
        <v>0</v>
      </c>
      <c r="J8" s="47"/>
      <c r="K8" s="13"/>
      <c r="L8" s="13"/>
    </row>
    <row r="9" spans="1:12" x14ac:dyDescent="0.2">
      <c r="A9" s="1"/>
      <c r="B9" s="1"/>
      <c r="C9" s="1"/>
      <c r="D9" s="1"/>
      <c r="E9" s="128" t="s">
        <v>57</v>
      </c>
      <c r="F9" s="12"/>
      <c r="G9" s="13"/>
      <c r="H9" s="62"/>
      <c r="I9" s="69"/>
      <c r="J9" s="47"/>
      <c r="K9" s="13"/>
      <c r="L9" s="13"/>
    </row>
    <row r="10" spans="1:12" x14ac:dyDescent="0.2">
      <c r="A10" s="1"/>
      <c r="B10" s="1"/>
      <c r="C10" s="1"/>
      <c r="D10" s="1"/>
      <c r="E10" s="128" t="s">
        <v>56</v>
      </c>
      <c r="F10" s="12"/>
      <c r="G10" s="35"/>
      <c r="H10" s="84"/>
      <c r="I10" s="69"/>
      <c r="J10" s="48"/>
      <c r="K10" s="35"/>
      <c r="L10" s="35"/>
    </row>
    <row r="11" spans="1:12" x14ac:dyDescent="0.2">
      <c r="A11" s="1"/>
      <c r="B11" s="1"/>
      <c r="C11" s="1"/>
      <c r="D11" s="1"/>
      <c r="E11" s="43" t="s">
        <v>58</v>
      </c>
      <c r="F11" s="12"/>
      <c r="G11" s="35"/>
      <c r="H11" s="84"/>
      <c r="I11" s="69"/>
      <c r="J11" s="48"/>
      <c r="K11" s="35"/>
      <c r="L11" s="35"/>
    </row>
    <row r="12" spans="1:12" x14ac:dyDescent="0.2">
      <c r="A12" s="1"/>
      <c r="B12" s="1"/>
      <c r="C12" s="1"/>
      <c r="D12" s="1"/>
      <c r="E12" s="43" t="s">
        <v>59</v>
      </c>
      <c r="F12" s="12"/>
      <c r="G12" s="13"/>
      <c r="H12" s="62"/>
      <c r="I12" s="69"/>
      <c r="J12" s="47"/>
      <c r="K12" s="13"/>
      <c r="L12" s="13"/>
    </row>
    <row r="13" spans="1:12" ht="16" thickBot="1" x14ac:dyDescent="0.25">
      <c r="A13" s="1"/>
      <c r="B13" s="1"/>
      <c r="C13" s="1"/>
      <c r="D13" s="1"/>
      <c r="E13" s="43" t="s">
        <v>60</v>
      </c>
      <c r="F13" s="12"/>
      <c r="G13" s="13"/>
      <c r="H13" s="62"/>
      <c r="I13" s="13"/>
      <c r="J13" s="47"/>
      <c r="K13" s="13"/>
      <c r="L13" s="13"/>
    </row>
    <row r="14" spans="1:12" ht="16" thickBot="1" x14ac:dyDescent="0.25">
      <c r="A14" s="1"/>
      <c r="B14" s="1"/>
      <c r="C14" s="1"/>
      <c r="D14" s="1" t="s">
        <v>6</v>
      </c>
      <c r="E14" s="31"/>
      <c r="F14" s="7">
        <f t="shared" ref="F14:G14" si="0">SUM(F8:F13)</f>
        <v>0</v>
      </c>
      <c r="G14" s="8">
        <f t="shared" si="0"/>
        <v>0</v>
      </c>
      <c r="H14" s="62"/>
      <c r="I14" s="8">
        <f>SUM(I9:I13)</f>
        <v>0</v>
      </c>
      <c r="J14" s="49">
        <f t="shared" ref="J14:K14" si="1">SUM(J8:J13)</f>
        <v>0</v>
      </c>
      <c r="K14" s="8">
        <f t="shared" si="1"/>
        <v>0</v>
      </c>
      <c r="L14" s="8">
        <f t="shared" ref="L14" si="2">SUM(L8:L13)</f>
        <v>0</v>
      </c>
    </row>
    <row r="15" spans="1:12" ht="30" customHeight="1" x14ac:dyDescent="0.2">
      <c r="A15" s="1"/>
      <c r="B15" s="1"/>
      <c r="C15" s="1"/>
      <c r="D15" s="42" t="s">
        <v>2</v>
      </c>
      <c r="E15" s="31"/>
      <c r="F15" s="12"/>
      <c r="G15" s="13"/>
      <c r="H15" s="85"/>
      <c r="I15" s="13"/>
      <c r="J15" s="47"/>
      <c r="K15" s="13"/>
      <c r="L15" s="13"/>
    </row>
    <row r="16" spans="1:12" x14ac:dyDescent="0.2">
      <c r="A16" s="1"/>
      <c r="B16" s="1"/>
      <c r="C16" s="1"/>
      <c r="D16" s="1"/>
      <c r="E16" s="43" t="s">
        <v>61</v>
      </c>
      <c r="F16" s="37"/>
      <c r="G16" s="38"/>
      <c r="H16" s="86"/>
      <c r="I16" s="13">
        <v>1667</v>
      </c>
      <c r="J16" s="54"/>
      <c r="K16" s="38"/>
      <c r="L16" s="38"/>
    </row>
    <row r="17" spans="1:12" x14ac:dyDescent="0.2">
      <c r="A17" s="1"/>
      <c r="B17" s="1"/>
      <c r="C17" s="1"/>
      <c r="D17" s="1"/>
      <c r="E17" s="43" t="s">
        <v>62</v>
      </c>
      <c r="F17" s="37">
        <v>18000</v>
      </c>
      <c r="G17" s="38"/>
      <c r="H17" s="87"/>
      <c r="I17" s="13">
        <v>29</v>
      </c>
      <c r="J17" s="54"/>
      <c r="K17" s="38"/>
      <c r="L17" s="38"/>
    </row>
    <row r="18" spans="1:12" x14ac:dyDescent="0.2">
      <c r="A18" s="1"/>
      <c r="B18" s="1"/>
      <c r="C18" s="1"/>
      <c r="D18" s="1"/>
      <c r="E18" s="43" t="s">
        <v>63</v>
      </c>
      <c r="F18" s="37"/>
      <c r="G18" s="38"/>
      <c r="H18" s="86"/>
      <c r="I18" s="13">
        <v>0</v>
      </c>
      <c r="J18" s="54"/>
      <c r="K18" s="38"/>
      <c r="L18" s="38"/>
    </row>
    <row r="19" spans="1:12" x14ac:dyDescent="0.2">
      <c r="A19" s="1"/>
      <c r="B19" s="1"/>
      <c r="C19" s="1"/>
      <c r="D19" s="1"/>
      <c r="E19" s="43" t="s">
        <v>64</v>
      </c>
      <c r="F19" s="39"/>
      <c r="G19" s="38"/>
      <c r="H19" s="86"/>
      <c r="I19" s="13">
        <v>0</v>
      </c>
      <c r="J19" s="54"/>
      <c r="K19" s="38"/>
      <c r="L19" s="38"/>
    </row>
    <row r="20" spans="1:12" x14ac:dyDescent="0.2">
      <c r="A20" s="1"/>
      <c r="B20" s="1"/>
      <c r="C20" s="1"/>
      <c r="D20" s="1"/>
      <c r="E20" s="43" t="s">
        <v>65</v>
      </c>
      <c r="F20" s="37"/>
      <c r="G20" s="38"/>
      <c r="H20" s="86"/>
      <c r="I20" s="13">
        <v>201</v>
      </c>
      <c r="J20" s="54"/>
      <c r="K20" s="38"/>
      <c r="L20" s="38"/>
    </row>
    <row r="21" spans="1:12" x14ac:dyDescent="0.2">
      <c r="A21" s="1"/>
      <c r="B21" s="1"/>
      <c r="C21" s="1"/>
      <c r="D21" s="1"/>
      <c r="E21" s="43" t="s">
        <v>66</v>
      </c>
      <c r="F21" s="12"/>
      <c r="G21" s="13"/>
      <c r="H21" s="62"/>
      <c r="I21" s="13"/>
      <c r="J21" s="48"/>
      <c r="K21" s="35"/>
      <c r="L21" s="35"/>
    </row>
    <row r="22" spans="1:12" x14ac:dyDescent="0.2">
      <c r="A22" s="1"/>
      <c r="B22" s="1"/>
      <c r="C22" s="1"/>
      <c r="D22" s="1"/>
      <c r="E22" s="43" t="s">
        <v>67</v>
      </c>
      <c r="F22" s="12"/>
      <c r="G22" s="13"/>
      <c r="H22" s="62"/>
      <c r="I22" s="13"/>
      <c r="J22" s="48"/>
      <c r="K22" s="35"/>
      <c r="L22" s="35"/>
    </row>
    <row r="23" spans="1:12" x14ac:dyDescent="0.2">
      <c r="A23" s="1"/>
      <c r="B23" s="1"/>
      <c r="C23" s="1"/>
      <c r="D23" s="1"/>
      <c r="E23" s="43" t="s">
        <v>68</v>
      </c>
      <c r="F23" s="12"/>
      <c r="G23" s="13"/>
      <c r="H23" s="62"/>
      <c r="I23" s="13"/>
      <c r="J23" s="48"/>
      <c r="K23" s="35"/>
      <c r="L23" s="35"/>
    </row>
    <row r="24" spans="1:12" ht="16" thickBot="1" x14ac:dyDescent="0.25">
      <c r="A24" s="1"/>
      <c r="B24" s="1"/>
      <c r="C24" s="1"/>
      <c r="D24" s="1"/>
      <c r="E24" s="43" t="s">
        <v>14</v>
      </c>
      <c r="F24" s="12"/>
      <c r="G24" s="13"/>
      <c r="H24" s="62"/>
      <c r="I24" s="94"/>
      <c r="J24" s="48"/>
      <c r="K24" s="35"/>
      <c r="L24" s="35"/>
    </row>
    <row r="25" spans="1:12" ht="16" thickBot="1" x14ac:dyDescent="0.25">
      <c r="A25" s="1"/>
      <c r="B25" s="1"/>
      <c r="C25" s="1"/>
      <c r="D25" s="1" t="s">
        <v>7</v>
      </c>
      <c r="E25" s="31"/>
      <c r="F25" s="7">
        <f>SUM(F16:F24)</f>
        <v>18000</v>
      </c>
      <c r="G25" s="8">
        <f>SUM(G16:G24)</f>
        <v>0</v>
      </c>
      <c r="H25" s="62"/>
      <c r="I25" s="13">
        <f>SUM(I16:I24)</f>
        <v>1897</v>
      </c>
      <c r="J25" s="49">
        <f>SUM(J16:J24)</f>
        <v>0</v>
      </c>
      <c r="K25" s="8">
        <f>SUM(K16:K24)</f>
        <v>0</v>
      </c>
      <c r="L25" s="8">
        <f>SUM(L16:L24)</f>
        <v>0</v>
      </c>
    </row>
    <row r="26" spans="1:12" s="6" customFormat="1" ht="40.5" customHeight="1" thickBot="1" x14ac:dyDescent="0.25">
      <c r="A26" s="1"/>
      <c r="B26" s="42" t="s">
        <v>4</v>
      </c>
      <c r="C26" s="1"/>
      <c r="D26" s="1"/>
      <c r="E26" s="31"/>
      <c r="F26" s="9">
        <f t="shared" ref="F26:G26" si="3">F14-F25</f>
        <v>-18000</v>
      </c>
      <c r="G26" s="10">
        <f t="shared" si="3"/>
        <v>0</v>
      </c>
      <c r="H26" s="70"/>
      <c r="I26" s="10">
        <f t="shared" ref="I26" si="4">I14-I25</f>
        <v>-1897</v>
      </c>
      <c r="J26" s="50">
        <f t="shared" ref="J26:K26" si="5">J14-J25</f>
        <v>0</v>
      </c>
      <c r="K26" s="10">
        <f t="shared" si="5"/>
        <v>0</v>
      </c>
      <c r="L26" s="10">
        <f t="shared" ref="L26" si="6">L14-L25</f>
        <v>0</v>
      </c>
    </row>
    <row r="27" spans="1:12" ht="37.5" customHeight="1" thickTop="1" x14ac:dyDescent="0.2">
      <c r="A27" s="1"/>
      <c r="B27" s="1" t="s">
        <v>9</v>
      </c>
      <c r="C27" s="1"/>
      <c r="D27" s="1"/>
      <c r="E27" s="31"/>
      <c r="F27" s="12"/>
      <c r="G27" s="13"/>
      <c r="H27" s="62"/>
      <c r="I27" s="13"/>
      <c r="J27" s="48"/>
      <c r="K27" s="35"/>
      <c r="L27" s="35"/>
    </row>
    <row r="28" spans="1:12" x14ac:dyDescent="0.2">
      <c r="A28" s="1"/>
      <c r="B28" s="1"/>
      <c r="C28" s="1" t="s">
        <v>8</v>
      </c>
      <c r="D28" s="1"/>
      <c r="E28" s="31"/>
      <c r="F28" s="12"/>
      <c r="G28" s="13"/>
      <c r="H28" s="62"/>
      <c r="I28" s="13"/>
      <c r="J28" s="48"/>
      <c r="K28" s="35"/>
      <c r="L28" s="35"/>
    </row>
    <row r="29" spans="1:12" x14ac:dyDescent="0.2">
      <c r="A29" s="1"/>
      <c r="B29" s="1"/>
      <c r="C29" s="1"/>
      <c r="D29" s="41"/>
      <c r="E29" s="43" t="s">
        <v>69</v>
      </c>
      <c r="F29" s="34">
        <v>18000</v>
      </c>
      <c r="G29" s="35"/>
      <c r="H29" s="62"/>
      <c r="I29" s="13">
        <v>1897</v>
      </c>
      <c r="J29" s="48"/>
      <c r="K29" s="35"/>
      <c r="L29" s="35"/>
    </row>
    <row r="30" spans="1:12" x14ac:dyDescent="0.2">
      <c r="A30" s="1"/>
      <c r="B30" s="1"/>
      <c r="C30" s="1"/>
      <c r="D30" s="44"/>
      <c r="E30" s="63" t="s">
        <v>16</v>
      </c>
      <c r="F30" s="34"/>
      <c r="G30" s="35"/>
      <c r="H30" s="62"/>
      <c r="I30" s="13"/>
      <c r="J30" s="48"/>
      <c r="K30" s="35"/>
      <c r="L30" s="35"/>
    </row>
    <row r="31" spans="1:12" ht="16" thickBot="1" x14ac:dyDescent="0.25">
      <c r="A31" s="1"/>
      <c r="B31" s="1"/>
      <c r="C31" s="1"/>
      <c r="D31" s="41"/>
      <c r="E31" s="43" t="s">
        <v>70</v>
      </c>
      <c r="F31" s="26"/>
      <c r="G31" s="27"/>
      <c r="H31" s="62"/>
      <c r="I31" s="94"/>
      <c r="J31" s="56"/>
      <c r="K31" s="57"/>
      <c r="L31" s="57"/>
    </row>
    <row r="32" spans="1:12" x14ac:dyDescent="0.2">
      <c r="A32" s="1"/>
      <c r="B32" s="1"/>
      <c r="C32" s="1" t="s">
        <v>10</v>
      </c>
      <c r="D32" s="1"/>
      <c r="E32" s="31"/>
      <c r="F32" s="12">
        <f t="shared" ref="F32:G32" si="7">SUM(F28:F31)</f>
        <v>18000</v>
      </c>
      <c r="G32" s="13">
        <f t="shared" si="7"/>
        <v>0</v>
      </c>
      <c r="I32" s="47">
        <f>SUM(I28:I31)</f>
        <v>1897</v>
      </c>
      <c r="J32" s="47">
        <f t="shared" ref="J32:K32" si="8">SUM(J28:J31)</f>
        <v>0</v>
      </c>
      <c r="K32" s="13">
        <f t="shared" si="8"/>
        <v>0</v>
      </c>
      <c r="L32" s="13">
        <f t="shared" ref="L32" si="9">SUM(L28:L31)</f>
        <v>0</v>
      </c>
    </row>
    <row r="33" spans="1:12" ht="37.5" customHeight="1" x14ac:dyDescent="0.2">
      <c r="A33" s="1"/>
      <c r="B33" s="1"/>
      <c r="C33" s="1" t="s">
        <v>11</v>
      </c>
      <c r="D33" s="1"/>
      <c r="E33" s="31"/>
      <c r="F33" s="12"/>
      <c r="G33" s="13"/>
      <c r="I33" s="47"/>
      <c r="J33" s="47"/>
      <c r="K33" s="13"/>
      <c r="L33" s="13"/>
    </row>
    <row r="34" spans="1:12" ht="16" thickBot="1" x14ac:dyDescent="0.25">
      <c r="A34" s="1"/>
      <c r="B34" s="1"/>
      <c r="C34" s="1"/>
      <c r="D34" s="41" t="s">
        <v>71</v>
      </c>
      <c r="E34" s="31"/>
      <c r="F34" s="12"/>
      <c r="G34" s="13"/>
      <c r="I34" s="47"/>
      <c r="J34" s="47"/>
      <c r="K34" s="13"/>
      <c r="L34" s="13"/>
    </row>
    <row r="35" spans="1:12" ht="16" thickBot="1" x14ac:dyDescent="0.25">
      <c r="A35" s="1"/>
      <c r="B35" s="1"/>
      <c r="C35" s="1" t="s">
        <v>12</v>
      </c>
      <c r="D35" s="1"/>
      <c r="E35" s="31"/>
      <c r="F35" s="11">
        <f t="shared" ref="F35:G35" si="10">F34</f>
        <v>0</v>
      </c>
      <c r="G35" s="14">
        <f t="shared" si="10"/>
        <v>0</v>
      </c>
      <c r="I35" s="51">
        <f t="shared" ref="I35" si="11">I34</f>
        <v>0</v>
      </c>
      <c r="J35" s="51">
        <f t="shared" ref="J35:K35" si="12">J34</f>
        <v>0</v>
      </c>
      <c r="K35" s="14">
        <f t="shared" si="12"/>
        <v>0</v>
      </c>
      <c r="L35" s="14">
        <f t="shared" ref="L35" si="13">L34</f>
        <v>0</v>
      </c>
    </row>
    <row r="36" spans="1:12" ht="30.75" customHeight="1" thickBot="1" x14ac:dyDescent="0.25">
      <c r="A36" s="1"/>
      <c r="B36" s="1" t="s">
        <v>13</v>
      </c>
      <c r="C36" s="1"/>
      <c r="D36" s="1"/>
      <c r="E36" s="31"/>
      <c r="F36" s="11">
        <f t="shared" ref="F36:G36" si="14">F32-F35</f>
        <v>18000</v>
      </c>
      <c r="G36" s="14">
        <f t="shared" si="14"/>
        <v>0</v>
      </c>
      <c r="I36" s="51">
        <f t="shared" ref="I36" si="15">I32-I35</f>
        <v>1897</v>
      </c>
      <c r="J36" s="51">
        <f t="shared" ref="J36:K36" si="16">J32-J35</f>
        <v>0</v>
      </c>
      <c r="K36" s="14">
        <f t="shared" si="16"/>
        <v>0</v>
      </c>
      <c r="L36" s="14">
        <f t="shared" ref="L36" si="17">L32-L35</f>
        <v>0</v>
      </c>
    </row>
    <row r="37" spans="1:12" s="4" customFormat="1" ht="33.75" customHeight="1" thickBot="1" x14ac:dyDescent="0.2">
      <c r="A37" s="42" t="s">
        <v>3</v>
      </c>
      <c r="B37" s="1"/>
      <c r="C37" s="1"/>
      <c r="D37" s="1"/>
      <c r="E37" s="31"/>
      <c r="F37" s="15">
        <f t="shared" ref="F37:G37" si="18">F36+F26</f>
        <v>0</v>
      </c>
      <c r="G37" s="16">
        <f t="shared" si="18"/>
        <v>0</v>
      </c>
      <c r="I37" s="52">
        <f t="shared" ref="I37" si="19">I36+I26</f>
        <v>0</v>
      </c>
      <c r="J37" s="52">
        <f t="shared" ref="J37:K37" si="20">J36+J26</f>
        <v>0</v>
      </c>
      <c r="K37" s="16">
        <f t="shared" si="20"/>
        <v>0</v>
      </c>
      <c r="L37" s="16">
        <f t="shared" ref="L37" si="21">L36+L26</f>
        <v>0</v>
      </c>
    </row>
    <row r="38" spans="1:12" ht="17" thickTop="1" thickBot="1" x14ac:dyDescent="0.25">
      <c r="E38" s="33"/>
      <c r="F38" s="29"/>
      <c r="G38" s="30"/>
      <c r="I38" s="53"/>
      <c r="J38" s="53"/>
      <c r="K38" s="30"/>
      <c r="L38" s="30"/>
    </row>
    <row r="39" spans="1:12" ht="16" thickTop="1" x14ac:dyDescent="0.2"/>
    <row r="40" spans="1:12" x14ac:dyDescent="0.2">
      <c r="H40" s="118"/>
    </row>
  </sheetData>
  <mergeCells count="1">
    <mergeCell ref="F3:G3"/>
  </mergeCells>
  <pageMargins left="0.25" right="0.25" top="0.75" bottom="0.75" header="0.3" footer="0.3"/>
  <pageSetup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Releases</vt:lpstr>
      <vt:lpstr>% Distribution</vt:lpstr>
      <vt:lpstr>Admin 110</vt:lpstr>
      <vt:lpstr>Development 120</vt:lpstr>
      <vt:lpstr>World Office 130</vt:lpstr>
      <vt:lpstr>Section Meeting 140</vt:lpstr>
      <vt:lpstr>Visitation 150</vt:lpstr>
      <vt:lpstr>Connections 160</vt:lpstr>
      <vt:lpstr>Social Enterprise 170</vt:lpstr>
      <vt:lpstr>Elkinton 210</vt:lpstr>
      <vt:lpstr>Founders Fund 220</vt:lpstr>
      <vt:lpstr>Stewardship 230</vt:lpstr>
      <vt:lpstr>Bax Fund 240</vt:lpstr>
      <vt:lpstr>Committee Travel 250</vt:lpstr>
      <vt:lpstr>Moir 260</vt:lpstr>
      <vt:lpstr>Green Fund 270</vt:lpstr>
      <vt:lpstr>subtotal Board Designated</vt:lpstr>
      <vt:lpstr>TOTAL UNRESTRICTED</vt:lpstr>
      <vt:lpstr>Committee Travel 310</vt:lpstr>
      <vt:lpstr>Bogert 320</vt:lpstr>
      <vt:lpstr>QYP 330</vt:lpstr>
      <vt:lpstr>Travel in Ministry 340</vt:lpstr>
      <vt:lpstr>Tyson Grant 350</vt:lpstr>
      <vt:lpstr>World Travel 360 </vt:lpstr>
      <vt:lpstr>PLIF 370</vt:lpstr>
      <vt:lpstr>Campaign 380</vt:lpstr>
      <vt:lpstr>Travel Support 390</vt:lpstr>
      <vt:lpstr>TOTAL Temp Resticted</vt:lpstr>
      <vt:lpstr>Applegate 410</vt:lpstr>
      <vt:lpstr>Elkinton Restricted 420</vt:lpstr>
      <vt:lpstr>Cadwallader 430</vt:lpstr>
      <vt:lpstr>Total Perm Restricted</vt:lpstr>
      <vt:lpstr>GRAND TOTAL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cbeaton</dc:creator>
  <cp:lastModifiedBy>Microsoft Office User</cp:lastModifiedBy>
  <cp:lastPrinted>2017-02-27T22:18:47Z</cp:lastPrinted>
  <dcterms:created xsi:type="dcterms:W3CDTF">2014-01-22T15:30:56Z</dcterms:created>
  <dcterms:modified xsi:type="dcterms:W3CDTF">2017-02-27T22:29:07Z</dcterms:modified>
</cp:coreProperties>
</file>